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cityofmedfordor.sharepoint.com/sites/PWEng/Traffic Engineering/Grant Applications &amp; Earmark Requests/CMAQ &amp; STBG/2025/Table Rock Road/"/>
    </mc:Choice>
  </mc:AlternateContent>
  <xr:revisionPtr revIDLastSave="507" documentId="8_{9A6A921E-9E76-4488-B137-23CFEC99A00F}" xr6:coauthVersionLast="47" xr6:coauthVersionMax="47" xr10:uidLastSave="{81743D05-3ED4-4DE6-802D-F5EFC3275FD0}"/>
  <bookViews>
    <workbookView xWindow="57510" yWindow="0" windowWidth="19380" windowHeight="20970" xr2:uid="{00000000-000D-0000-FFFF-FFFF00000000}"/>
  </bookViews>
  <sheets>
    <sheet name="Cost Estimate Scoping Sheet" sheetId="1" r:id="rId1"/>
    <sheet name="Sheet1" sheetId="2" r:id="rId2"/>
  </sheets>
  <definedNames>
    <definedName name="_xlnm.Print_Area" localSheetId="0">'Cost Estimate Scoping Sheet'!$A$1:$F$160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F109" i="1" l="1"/>
  <c r="D112" i="1" l="1"/>
  <c r="E129" i="1" l="1"/>
  <c r="D36" i="1"/>
  <c r="D37" i="1"/>
  <c r="F43" i="1" l="1"/>
  <c r="F46" i="1"/>
  <c r="D27" i="1"/>
  <c r="D24" i="1" s="1"/>
  <c r="D18" i="1"/>
  <c r="D111" i="1"/>
  <c r="D64" i="1"/>
  <c r="F72" i="1" l="1"/>
  <c r="F73" i="1"/>
  <c r="F74" i="1"/>
  <c r="D58" i="1"/>
  <c r="D22" i="1"/>
  <c r="D59" i="1" s="1"/>
  <c r="D98" i="1"/>
  <c r="D96" i="1"/>
  <c r="D95" i="1"/>
  <c r="D93" i="1"/>
  <c r="D77" i="1"/>
  <c r="F69" i="1"/>
  <c r="D70" i="1"/>
  <c r="F70" i="1" s="1"/>
  <c r="D60" i="1"/>
  <c r="D19" i="1"/>
  <c r="D20" i="1" s="1"/>
  <c r="D21" i="1" s="1"/>
  <c r="F45" i="1" l="1"/>
  <c r="B23" i="2" l="1"/>
  <c r="C5" i="2"/>
  <c r="E5" i="2" s="1"/>
  <c r="C6" i="2"/>
  <c r="E6" i="2" s="1"/>
  <c r="C7" i="2"/>
  <c r="E7" i="2" s="1"/>
  <c r="C8" i="2"/>
  <c r="E8" i="2" s="1"/>
  <c r="C9" i="2"/>
  <c r="E9" i="2" s="1"/>
  <c r="C10" i="2"/>
  <c r="E10" i="2" s="1"/>
  <c r="C11" i="2"/>
  <c r="E11" i="2" s="1"/>
  <c r="C12" i="2"/>
  <c r="E12" i="2" s="1"/>
  <c r="C13" i="2"/>
  <c r="E13" i="2" s="1"/>
  <c r="C14" i="2"/>
  <c r="C15" i="2"/>
  <c r="E15" i="2" s="1"/>
  <c r="C16" i="2"/>
  <c r="E16" i="2" s="1"/>
  <c r="C17" i="2"/>
  <c r="E17" i="2" s="1"/>
  <c r="C18" i="2"/>
  <c r="E18" i="2" s="1"/>
  <c r="C19" i="2"/>
  <c r="E19" i="2" s="1"/>
  <c r="C20" i="2"/>
  <c r="E20" i="2" s="1"/>
  <c r="C21" i="2"/>
  <c r="E21" i="2" s="1"/>
  <c r="E14" i="2"/>
  <c r="C4" i="2"/>
  <c r="E4" i="2" s="1"/>
  <c r="C3" i="2"/>
  <c r="E3" i="2" s="1"/>
  <c r="E23" i="2" l="1"/>
  <c r="F129" i="1"/>
  <c r="F145" i="1" l="1"/>
  <c r="F137" i="1"/>
  <c r="F130" i="1"/>
  <c r="F131" i="1" s="1"/>
  <c r="F122" i="1"/>
  <c r="F121" i="1"/>
  <c r="F120" i="1"/>
  <c r="F119" i="1"/>
  <c r="F118" i="1"/>
  <c r="F116" i="1"/>
  <c r="F115" i="1"/>
  <c r="F114" i="1"/>
  <c r="F113" i="1"/>
  <c r="F112" i="1"/>
  <c r="F111" i="1"/>
  <c r="F108" i="1"/>
  <c r="F107" i="1"/>
  <c r="F106" i="1"/>
  <c r="F105" i="1"/>
  <c r="F104" i="1"/>
  <c r="F103" i="1"/>
  <c r="F102" i="1"/>
  <c r="F101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1" i="1"/>
  <c r="F68" i="1"/>
  <c r="F67" i="1"/>
  <c r="F66" i="1"/>
  <c r="F65" i="1"/>
  <c r="F64" i="1"/>
  <c r="F63" i="1"/>
  <c r="F62" i="1"/>
  <c r="F60" i="1"/>
  <c r="F59" i="1"/>
  <c r="F58" i="1"/>
  <c r="F57" i="1"/>
  <c r="F55" i="1"/>
  <c r="F54" i="1"/>
  <c r="F53" i="1"/>
  <c r="F52" i="1"/>
  <c r="F50" i="1"/>
  <c r="F49" i="1"/>
  <c r="F48" i="1"/>
  <c r="F47" i="1"/>
  <c r="F44" i="1"/>
  <c r="F42" i="1"/>
  <c r="F41" i="1"/>
  <c r="F40" i="1"/>
  <c r="F39" i="1"/>
  <c r="F38" i="1"/>
  <c r="F37" i="1"/>
  <c r="F36" i="1"/>
  <c r="F34" i="1"/>
  <c r="F33" i="1"/>
  <c r="F32" i="1"/>
  <c r="F31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 l="1"/>
  <c r="F14" i="1"/>
  <c r="F10" i="1" l="1"/>
  <c r="F11" i="1"/>
  <c r="F12" i="1"/>
  <c r="F124" i="1" l="1"/>
  <c r="F135" i="1" s="1"/>
  <c r="F140" i="1" l="1"/>
  <c r="F139" i="1"/>
  <c r="F138" i="1"/>
  <c r="F147" i="1"/>
  <c r="F146" i="1"/>
  <c r="F144" i="1"/>
  <c r="F141" i="1"/>
  <c r="F142" i="1" l="1"/>
  <c r="F148" i="1"/>
  <c r="F149" i="1" l="1"/>
  <c r="F15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tc={C5AB2BAA-152E-47AA-8F76-CEECE4A51A2F}</author>
  </authors>
  <commentList>
    <comment ref="E50" authorId="0" shapeId="0" xr:uid="{C5AB2BAA-152E-47AA-8F76-CEECE4A51A2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MAJOR ADJUSTMENT AVG PRICE WAS $3876, MINOR ADJUSTMENT AVG PRICE WAS $1867. USED $3K TO COVER SOME OF EACH SINCE THE AMOUNT OF ADJUSTMENT NEEDED IS UNKNOWN AT THIS TIME. </t>
      </text>
    </comment>
  </commentList>
</comments>
</file>

<file path=xl/sharedStrings.xml><?xml version="1.0" encoding="utf-8"?>
<sst xmlns="http://schemas.openxmlformats.org/spreadsheetml/2006/main" count="321" uniqueCount="208">
  <si>
    <t>RVMPO/MRMPO SCOPING ESTIMATE</t>
  </si>
  <si>
    <t>(updated March 2022)</t>
  </si>
  <si>
    <t>PROJECT NAME</t>
  </si>
  <si>
    <t>Delta Waters Rd - Nome Ct to Colonial Ave</t>
  </si>
  <si>
    <t>COUNTY</t>
  </si>
  <si>
    <t>Jackson</t>
  </si>
  <si>
    <t>KIND OF WORK</t>
  </si>
  <si>
    <t>Street Improvements, Sidewalk, and Striping</t>
  </si>
  <si>
    <t>LENGTH</t>
  </si>
  <si>
    <t>DATE</t>
  </si>
  <si>
    <t>ESTIMATE PREPARER</t>
  </si>
  <si>
    <t>Karl MacNair, PE</t>
  </si>
  <si>
    <t>Section #</t>
  </si>
  <si>
    <t>ITEM TITLE</t>
  </si>
  <si>
    <t>UNIT</t>
  </si>
  <si>
    <t>QTY</t>
  </si>
  <si>
    <t xml:space="preserve">UNIT </t>
  </si>
  <si>
    <t>EXTENDED</t>
  </si>
  <si>
    <t>COST</t>
  </si>
  <si>
    <t>TEMPORARY FEATURES AND APPURTENANCES</t>
  </si>
  <si>
    <t>MOBILIZATION</t>
  </si>
  <si>
    <t>LS</t>
  </si>
  <si>
    <t>x</t>
  </si>
  <si>
    <t>TEMPORARY PROTECTION AND DIRECTION OF TRAFFIC</t>
  </si>
  <si>
    <t>EROSION CONTROL</t>
  </si>
  <si>
    <t>ROADWORK</t>
  </si>
  <si>
    <t>CONSTRUCTION SURVEY WORK</t>
  </si>
  <si>
    <t>REMOVAL OF STRUCTURES AND OBSTRUCTIONS</t>
  </si>
  <si>
    <t>REMOVAL OF CURBS</t>
  </si>
  <si>
    <t>FOOT</t>
  </si>
  <si>
    <t>REMOVAL OF GUARDRAIL</t>
  </si>
  <si>
    <t>REMOVAL OF PIPES</t>
  </si>
  <si>
    <t>REMOVAL OF SURFACINGS</t>
  </si>
  <si>
    <t>SQYD</t>
  </si>
  <si>
    <t>REMOVAL OF WALKS AND DRIVEWAYS</t>
  </si>
  <si>
    <t>CLEARING AND GRUBBING</t>
  </si>
  <si>
    <t>ACRE</t>
  </si>
  <si>
    <t>GENERAL EXCAVATION</t>
  </si>
  <si>
    <t>CUYD</t>
  </si>
  <si>
    <t>EMBANKMENT IN PLACE</t>
  </si>
  <si>
    <t>12 INCH SUBGRADE STABILIZATION</t>
  </si>
  <si>
    <t>24 INCH SUBGRADE STABILIZATION</t>
  </si>
  <si>
    <t>WATERING</t>
  </si>
  <si>
    <t>MGAL</t>
  </si>
  <si>
    <t>SUBGRADE GEOTEXTILE</t>
  </si>
  <si>
    <t>LOOSE RIPRAP, CLASS 50</t>
  </si>
  <si>
    <t>LOOSE RIPRAP, CLASS 100</t>
  </si>
  <si>
    <t>DRAINAGE AND SEWERS</t>
  </si>
  <si>
    <t>18 INCH CULVERT PIPE, 5 FT DEPTH</t>
  </si>
  <si>
    <t>24 INCH CULV PIPE, 5 FT DEPTH</t>
  </si>
  <si>
    <t>36 INCH CULV PIPE, 5 FT DEPTH</t>
  </si>
  <si>
    <t>48 INCH CULV PIPE, 5 FT DEPTH</t>
  </si>
  <si>
    <t>12 INCH STORM SEWER PIPE, 5 FT DEPTH</t>
  </si>
  <si>
    <t>15 INCH STORM SEW PIPE, 5 FT</t>
  </si>
  <si>
    <t>18 INCH STORM SEWER PIPE, 5 FT DEPTH</t>
  </si>
  <si>
    <t>24 INCH STORM SEWER PIPE, 10 FT DEPTH</t>
  </si>
  <si>
    <t>36 INCH STORM SEWER PIPE, 10 FT DEPTH</t>
  </si>
  <si>
    <t>48 INCH STORM SEWER PIPE, 10 FT DEPTH</t>
  </si>
  <si>
    <t>CONCRETE STORM SEWER MANHOLES</t>
  </si>
  <si>
    <t>EACH</t>
  </si>
  <si>
    <t>DRAINAGE CURBS</t>
  </si>
  <si>
    <t>ADJUSTING BOXES</t>
  </si>
  <si>
    <t>ADJUSTING INLETS</t>
  </si>
  <si>
    <t>MAJOR ADJUSTMENT OF MANHOLES</t>
  </si>
  <si>
    <t>BRIDGES/STRUCTURES</t>
  </si>
  <si>
    <t>BRIDGES</t>
  </si>
  <si>
    <t>TEMP BRIDGE</t>
  </si>
  <si>
    <t>BRIDGE REMOVAL</t>
  </si>
  <si>
    <t>RETAINING WALL</t>
  </si>
  <si>
    <t>LIN FT</t>
  </si>
  <si>
    <t>BASES</t>
  </si>
  <si>
    <t>COLD PLANE PAVEMENT REMOVAL, 0 - 2 INCH DEEP</t>
  </si>
  <si>
    <t>AGGREGATE BASE</t>
  </si>
  <si>
    <t>TON</t>
  </si>
  <si>
    <t>AGGREGATE SHOULDERS</t>
  </si>
  <si>
    <t>WEARING SURFACES</t>
  </si>
  <si>
    <t>ASPHALT IN TACK COAT</t>
  </si>
  <si>
    <t>LEVEL 2, 1/2 INCH DENSE MHMAC</t>
  </si>
  <si>
    <t>LEVEL 3, 1/2 INCH DENSE MHMAC</t>
  </si>
  <si>
    <t>CRACK SEALING</t>
  </si>
  <si>
    <t>EXTRA FOR ASPHALT APPROACHES</t>
  </si>
  <si>
    <t>REINFORCED CONCRETE PAVEMENT</t>
  </si>
  <si>
    <t>REINFORCED CONCRETE DRIVEWAYS</t>
  </si>
  <si>
    <t>SQFT</t>
  </si>
  <si>
    <t>CONCRETE CURBS</t>
  </si>
  <si>
    <t>CURB AND GUTTER CONCRETE CURBS</t>
  </si>
  <si>
    <t>CONCRETE WALKS</t>
  </si>
  <si>
    <t>CONCRETE DRIVEWAYS</t>
  </si>
  <si>
    <t>PERMANENT TRAFFIC CONTROL AND GUIDANCE DEVICES</t>
  </si>
  <si>
    <t>GUARDRAIL, TYPE 2A</t>
  </si>
  <si>
    <t>GUARDRAIL, TYPE 3</t>
  </si>
  <si>
    <t>GUARDRAIL, TYPE 4</t>
  </si>
  <si>
    <t>GUARDRAIL ANCHORS, TYPE 1</t>
  </si>
  <si>
    <t>GUARDRAIL END PIECES, TYPE B</t>
  </si>
  <si>
    <t>GUARDRAIL TRANSITION</t>
  </si>
  <si>
    <t>GUARDRAIL TERMINALS, NON-FLARED</t>
  </si>
  <si>
    <t>GUARDRAIL TERMINALS, FLARED</t>
  </si>
  <si>
    <t>ADJUSTING GUARDRAIL</t>
  </si>
  <si>
    <t>CONCRETE BARRIER</t>
  </si>
  <si>
    <t>CONCRETE BARRIER, TALL</t>
  </si>
  <si>
    <t>DELINEATORS, TYPE 2</t>
  </si>
  <si>
    <t>MILEPOST MARKER POSTS</t>
  </si>
  <si>
    <t>PAVEMENT LEGEND, TYPE B: ARROWS</t>
  </si>
  <si>
    <t>PAVEMENT LEGEND, TYPE B: "SCHOOL"</t>
  </si>
  <si>
    <t>PAVEMENT LEGEND, TYPE B: RAILROAD CROSSING MARKINGS</t>
  </si>
  <si>
    <t>PAVEMENT LEGEND, TYPE B-HS: BICYCLE LANE SYMBOLS</t>
  </si>
  <si>
    <t>PAVEMENT BAR, TYPE B</t>
  </si>
  <si>
    <t>PAVEMENT LEGEND, TYPE B: DISABLED PARKING</t>
  </si>
  <si>
    <t>BI-DIRECTIONAL YELLOW TYPE I MARKERS</t>
  </si>
  <si>
    <t>LONGITUDINAL PAVEMENT MARKINGS - PAINT</t>
  </si>
  <si>
    <t>THERMOPLASTIC, EXTRUDED, SURFACE, PROFILED</t>
  </si>
  <si>
    <t>CONTINUOUS RUMBLE STRIPS</t>
  </si>
  <si>
    <t>MILE</t>
  </si>
  <si>
    <t>PERMANENT TRAFFIC CONTROL AND ILLUMINATION SYSTEMS</t>
  </si>
  <si>
    <t>PERMANENT SIGNS</t>
  </si>
  <si>
    <t>INTERPRETIVE PANELS AND DÉCORATIVE HARDSCAPE FEATURES</t>
  </si>
  <si>
    <t>DETECTOR INSTALLATION, _____</t>
  </si>
  <si>
    <t>TRAFFIC SIGNAL INSTALLATION, _____</t>
  </si>
  <si>
    <t>INTERCONNECT SYSTEM</t>
  </si>
  <si>
    <t>STREET LIGHTS SINGLE - INCLUDING CONECTIONS, WIRING, CONDUIT</t>
  </si>
  <si>
    <t>STREET LIGHTS MULTIPLE - INCLUDING CONECTIONS, WIRING, CONDUIT</t>
  </si>
  <si>
    <t>ILLUMINATION</t>
  </si>
  <si>
    <t>RIGHT-OF-WAY DEVELOPMENT AND CONTROL</t>
  </si>
  <si>
    <t>PERMANENT SEEDING, MIX NO. 1</t>
  </si>
  <si>
    <t>_____ CHAIN LINK FENCE</t>
  </si>
  <si>
    <t>SINGLE MAILBOX SUPPORTS</t>
  </si>
  <si>
    <t>MULTIPLE MAILBOX SUPPORTS</t>
  </si>
  <si>
    <t>UNUSUAL ELEMENTS</t>
  </si>
  <si>
    <t>LITTER RECEPTACLES</t>
  </si>
  <si>
    <t>BENCHES, TYPE ________</t>
  </si>
  <si>
    <t>TREE GRATES</t>
  </si>
  <si>
    <t>BIKE RACKS</t>
  </si>
  <si>
    <t>METAL HANDRAIL, 2 RAILS</t>
  </si>
  <si>
    <t>CONSTRUCTION SUBTOTAL</t>
  </si>
  <si>
    <t>PROJECT PHASES/SUMMARY OF COSTS</t>
  </si>
  <si>
    <t>ROW</t>
  </si>
  <si>
    <t>LAND, IMPROVEMENTS, DAMAGES</t>
  </si>
  <si>
    <t>ROW PROCESS (APPR, REV APPR, ACQ, ODOT REV, etc.)</t>
  </si>
  <si>
    <t>File</t>
  </si>
  <si>
    <t>ROW SUBTOTAL</t>
  </si>
  <si>
    <t>UTILITY RELOCATION</t>
  </si>
  <si>
    <t>INSERT APPROPRIATE LINE ITEMS/COSTS FOR ANY REIMBURSABLE UTILITIES</t>
  </si>
  <si>
    <t>UTILITY RELOCATION SUBTOTAL</t>
  </si>
  <si>
    <t>PRELIMINARY ENGINEERING</t>
  </si>
  <si>
    <t>PE - ODOT OVERSIGHT</t>
  </si>
  <si>
    <t>*PE - ENVIRONMENTAL</t>
  </si>
  <si>
    <t>PE - SURVEYING</t>
  </si>
  <si>
    <t>PE - GEO-TECH</t>
  </si>
  <si>
    <t>**PE - DESIGN &amp; PROJECT MANAGEMENT</t>
  </si>
  <si>
    <t>of CON cost</t>
  </si>
  <si>
    <t>PRELIMINARY ENGINEERING SUBTOTAL</t>
  </si>
  <si>
    <t>CONSTRUCTION</t>
  </si>
  <si>
    <t>TOTAL BID ITEM COST (from estimate above)</t>
  </si>
  <si>
    <t>CE- ODOT OVERSIGHT</t>
  </si>
  <si>
    <t>***CONSTRUCTION ENGINEERING ADMIN &amp; INSPECTION</t>
  </si>
  <si>
    <t>CONSTRUCTION CONTINGENCY</t>
  </si>
  <si>
    <t>*</t>
  </si>
  <si>
    <t>Environmental costs should account for the typical clearances needed for each environmental area (historic-archaeological &amp; built, hazmat, biology, wetland, noise, etc.), any necessary permits and land use requirements.  Contact ODOT LAL for assistance, if needed.</t>
  </si>
  <si>
    <t>**</t>
  </si>
  <si>
    <t>Typical percentages for federally funded LPA projects range from 20% to 30%.  Projects with lower construction costs (under $1M) typically have higher design percentages.</t>
  </si>
  <si>
    <t>***</t>
  </si>
  <si>
    <t>Typical percentages for federally funded LPA projects range from 17% to 25%.  Projects with lower construction costs (under $1M) typically have higher CE percentages.</t>
  </si>
  <si>
    <t>ROW Cost per SF</t>
  </si>
  <si>
    <t>Tax Lot</t>
  </si>
  <si>
    <t>Size (ac)</t>
  </si>
  <si>
    <t>Size (sf)</t>
  </si>
  <si>
    <t>372w13bd 700</t>
  </si>
  <si>
    <t>County Assessor Value (RMV $)</t>
  </si>
  <si>
    <t>$/sf</t>
  </si>
  <si>
    <t>372w13ac 700</t>
  </si>
  <si>
    <t>372w13ab 1700</t>
  </si>
  <si>
    <t>372w13ba 600</t>
  </si>
  <si>
    <t>372w13bd 900</t>
  </si>
  <si>
    <t>372w13bd 1200</t>
  </si>
  <si>
    <t>372w13ba 201</t>
  </si>
  <si>
    <t>372w13ba 400</t>
  </si>
  <si>
    <t>372w13ba 300</t>
  </si>
  <si>
    <t>372w12d 9000</t>
  </si>
  <si>
    <t>372w13ba 6500</t>
  </si>
  <si>
    <t>372w12d 8900</t>
  </si>
  <si>
    <t>372w12d 8700</t>
  </si>
  <si>
    <t>372w13ba 2400</t>
  </si>
  <si>
    <t>372w12cd 1200</t>
  </si>
  <si>
    <t>372w12cd 900</t>
  </si>
  <si>
    <t>372w12d 8601</t>
  </si>
  <si>
    <t>372w12d 8600</t>
  </si>
  <si>
    <t>372w12cd 800</t>
  </si>
  <si>
    <t>Average</t>
  </si>
  <si>
    <t>MONO-DIRECTIONS WHITE PAVEMENT MARKERS</t>
  </si>
  <si>
    <t>TACTILE DOMES</t>
  </si>
  <si>
    <t>EXTRA FOR ADA RAMPS</t>
  </si>
  <si>
    <t>COLD PLANE PAVEMENT REMOVAL, 0-3 INCH DEEP</t>
  </si>
  <si>
    <t>45 takes + 17 TCE-only</t>
  </si>
  <si>
    <t>3150'</t>
  </si>
  <si>
    <t>ENVIRONMENTAL IMPACT COSTS (ROADSIDE DITCH IMPACTS)</t>
  </si>
  <si>
    <t>DETENTION PONDS</t>
  </si>
  <si>
    <t>SF</t>
  </si>
  <si>
    <t>INFILTRATION PLANTER - GRADING, SEEDING, AND SOIL</t>
  </si>
  <si>
    <t>CONCRETE MANHOLES, OUTLET CONTROL</t>
  </si>
  <si>
    <t>CONCRETE INLETS, TYPE D</t>
  </si>
  <si>
    <t>LANDSCAPING - TREES, GROUNDCOVER, AND IRRIGATION (NON-SWQ)</t>
  </si>
  <si>
    <t>32,250 sf takes + 28,000 sf TCE + 20,068 sf slope easements + 2 Full Takes at 2650 TRR and 3088 TRR</t>
  </si>
  <si>
    <t>TOTAL PROJECT COST (2025 $)</t>
  </si>
  <si>
    <t>EXPECTED YEAR OF CONSTRUCTION</t>
  </si>
  <si>
    <t>ESTIMATED INFLATION</t>
  </si>
  <si>
    <t>TOTAL PROJECT COST (2029 $)</t>
  </si>
  <si>
    <t>MODIFY RRFB</t>
  </si>
  <si>
    <t>4 INCH STORM SEWER LATERAL WITH AREA DRAIN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</si>
</sst>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&quot;$&quot;#,##0.00"/>
    <numFmt numFmtId="166" formatCode="m/d/yy"/>
    <numFmt numFmtId="167" formatCode="&quot;$&quot;#,##0"/>
    <numFmt numFmtId="168" formatCode="_(* #,##0_);_(* \(#,##0\);_(* &quot;-&quot;??_);_(@_)"/>
    <numFmt numFmtId="169" formatCode="_(&quot;$&quot;* #,##0_);_(&quot;$&quot;* \(#,##0\);_(&quot;$&quot;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Arial"/>
      <family val="2"/>
    </font>
    <font>
      <sz val="10"/>
      <name val="Comic Sans MS"/>
      <family val="4"/>
    </font>
    <font>
      <b/>
      <sz val="8"/>
      <name val="Arial"/>
      <family val="2"/>
    </font>
    <font>
      <b/>
      <sz val="12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12"/>
      <name val="Comic Sans MS"/>
      <family val="4"/>
    </font>
    <font>
      <sz val="12"/>
      <name val="Comic Sans MS"/>
      <family val="4"/>
    </font>
    <font>
      <b/>
      <u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2"/>
      <name val="Comic Sans MS"/>
      <family val="4"/>
    </font>
    <font>
      <i/>
      <sz val="10"/>
      <name val="Comic Sans MS"/>
      <family val="4"/>
    </font>
    <font>
      <b/>
      <sz val="10"/>
      <name val="Comic Sans MS"/>
      <family val="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</cellStyleXfs>
  <cellXfs count="200">
    <xf numFmtId="0" fontId="0" fillId="0" borderId="0" xfId="0"/>
    <xf numFmtId="0" fontId="3" fillId="0" borderId="0" xfId="0" applyFont="1"/>
    <xf numFmtId="2" fontId="4" fillId="0" borderId="6" xfId="0" applyNumberFormat="1" applyFont="1" applyBorder="1" applyAlignment="1">
      <alignment horizontal="center"/>
    </xf>
    <xf numFmtId="166" fontId="8" fillId="0" borderId="7" xfId="0" applyNumberFormat="1" applyFont="1" applyBorder="1" applyAlignment="1">
      <alignment horizontal="left"/>
    </xf>
    <xf numFmtId="164" fontId="4" fillId="0" borderId="8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left"/>
    </xf>
    <xf numFmtId="2" fontId="4" fillId="0" borderId="9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left"/>
    </xf>
    <xf numFmtId="2" fontId="8" fillId="0" borderId="12" xfId="0" applyNumberFormat="1" applyFont="1" applyBorder="1" applyAlignment="1">
      <alignment horizontal="center"/>
    </xf>
    <xf numFmtId="165" fontId="4" fillId="0" borderId="13" xfId="0" applyNumberFormat="1" applyFont="1" applyBorder="1" applyAlignment="1">
      <alignment horizontal="center"/>
    </xf>
    <xf numFmtId="0" fontId="9" fillId="0" borderId="0" xfId="0" applyFont="1"/>
    <xf numFmtId="164" fontId="8" fillId="0" borderId="4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44" fontId="9" fillId="0" borderId="0" xfId="1" applyFont="1" applyFill="1"/>
    <xf numFmtId="164" fontId="3" fillId="0" borderId="0" xfId="0" applyNumberFormat="1" applyFont="1" applyAlignment="1">
      <alignment horizontal="left"/>
    </xf>
    <xf numFmtId="0" fontId="7" fillId="0" borderId="1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2" fontId="10" fillId="0" borderId="6" xfId="0" applyNumberFormat="1" applyFont="1" applyBorder="1" applyAlignment="1">
      <alignment horizontal="center" vertical="center"/>
    </xf>
    <xf numFmtId="10" fontId="10" fillId="0" borderId="6" xfId="0" applyNumberFormat="1" applyFont="1" applyBorder="1" applyAlignment="1">
      <alignment vertical="center"/>
    </xf>
    <xf numFmtId="167" fontId="10" fillId="0" borderId="15" xfId="0" applyNumberFormat="1" applyFont="1" applyBorder="1"/>
    <xf numFmtId="167" fontId="10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2" fontId="10" fillId="0" borderId="0" xfId="0" applyNumberFormat="1" applyFont="1" applyAlignment="1">
      <alignment horizontal="center"/>
    </xf>
    <xf numFmtId="0" fontId="10" fillId="0" borderId="0" xfId="0" applyFont="1"/>
    <xf numFmtId="167" fontId="10" fillId="0" borderId="5" xfId="0" applyNumberFormat="1" applyFont="1" applyBorder="1"/>
    <xf numFmtId="10" fontId="10" fillId="0" borderId="6" xfId="2" applyNumberFormat="1" applyFont="1" applyFill="1" applyBorder="1" applyAlignment="1">
      <alignment vertical="center"/>
    </xf>
    <xf numFmtId="1" fontId="10" fillId="0" borderId="6" xfId="0" applyNumberFormat="1" applyFont="1" applyBorder="1" applyAlignment="1">
      <alignment vertical="center"/>
    </xf>
    <xf numFmtId="44" fontId="10" fillId="0" borderId="6" xfId="1" applyFont="1" applyFill="1" applyBorder="1"/>
    <xf numFmtId="44" fontId="10" fillId="0" borderId="6" xfId="1" applyFont="1" applyFill="1" applyBorder="1" applyAlignment="1">
      <alignment vertical="center"/>
    </xf>
    <xf numFmtId="1" fontId="10" fillId="0" borderId="6" xfId="0" applyNumberFormat="1" applyFont="1" applyBorder="1"/>
    <xf numFmtId="1" fontId="10" fillId="0" borderId="0" xfId="0" applyNumberFormat="1" applyFont="1"/>
    <xf numFmtId="167" fontId="10" fillId="0" borderId="0" xfId="0" applyNumberFormat="1" applyFont="1"/>
    <xf numFmtId="0" fontId="7" fillId="0" borderId="14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7" fillId="0" borderId="6" xfId="3" applyFont="1" applyBorder="1" applyAlignment="1">
      <alignment horizontal="left"/>
    </xf>
    <xf numFmtId="0" fontId="7" fillId="0" borderId="14" xfId="3" applyFont="1" applyBorder="1" applyAlignment="1">
      <alignment horizontal="center"/>
    </xf>
    <xf numFmtId="0" fontId="7" fillId="0" borderId="14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167" fontId="10" fillId="0" borderId="6" xfId="0" applyNumberFormat="1" applyFont="1" applyBorder="1"/>
    <xf numFmtId="0" fontId="7" fillId="0" borderId="6" xfId="0" applyFont="1" applyBorder="1"/>
    <xf numFmtId="0" fontId="7" fillId="0" borderId="6" xfId="0" applyFont="1" applyBorder="1" applyAlignment="1">
      <alignment horizontal="left" vertical="center"/>
    </xf>
    <xf numFmtId="7" fontId="10" fillId="0" borderId="6" xfId="0" applyNumberFormat="1" applyFont="1" applyBorder="1" applyAlignment="1">
      <alignment vertical="center"/>
    </xf>
    <xf numFmtId="44" fontId="10" fillId="0" borderId="6" xfId="1" applyFont="1" applyFill="1" applyBorder="1" applyAlignment="1">
      <alignment horizontal="right"/>
    </xf>
    <xf numFmtId="44" fontId="11" fillId="0" borderId="0" xfId="1" applyFont="1" applyFill="1"/>
    <xf numFmtId="0" fontId="7" fillId="0" borderId="0" xfId="0" applyFont="1"/>
    <xf numFmtId="0" fontId="7" fillId="0" borderId="0" xfId="0" applyFont="1" applyAlignment="1">
      <alignment vertical="center" wrapText="1"/>
    </xf>
    <xf numFmtId="167" fontId="10" fillId="0" borderId="16" xfId="0" applyNumberFormat="1" applyFont="1" applyBorder="1"/>
    <xf numFmtId="44" fontId="10" fillId="0" borderId="16" xfId="1" applyFont="1" applyFill="1" applyBorder="1"/>
    <xf numFmtId="44" fontId="10" fillId="0" borderId="6" xfId="1" applyFont="1" applyFill="1" applyBorder="1" applyAlignment="1"/>
    <xf numFmtId="165" fontId="10" fillId="0" borderId="0" xfId="0" applyNumberFormat="1" applyFont="1"/>
    <xf numFmtId="44" fontId="10" fillId="0" borderId="6" xfId="1" applyFont="1" applyFill="1" applyBorder="1" applyAlignment="1">
      <alignment horizontal="right" vertical="center"/>
    </xf>
    <xf numFmtId="0" fontId="7" fillId="0" borderId="14" xfId="0" applyFont="1" applyBorder="1" applyAlignment="1">
      <alignment vertical="center" wrapText="1"/>
    </xf>
    <xf numFmtId="0" fontId="3" fillId="0" borderId="14" xfId="0" applyFont="1" applyBorder="1"/>
    <xf numFmtId="0" fontId="3" fillId="0" borderId="6" xfId="0" applyFont="1" applyBorder="1" applyAlignment="1">
      <alignment horizontal="left"/>
    </xf>
    <xf numFmtId="1" fontId="3" fillId="0" borderId="6" xfId="0" applyNumberFormat="1" applyFont="1" applyBorder="1"/>
    <xf numFmtId="0" fontId="7" fillId="0" borderId="0" xfId="0" applyFont="1" applyAlignment="1">
      <alignment horizontal="left" vertical="center" wrapText="1"/>
    </xf>
    <xf numFmtId="1" fontId="10" fillId="0" borderId="0" xfId="0" applyNumberFormat="1" applyFont="1" applyAlignment="1">
      <alignment vertical="center"/>
    </xf>
    <xf numFmtId="167" fontId="10" fillId="0" borderId="0" xfId="0" applyNumberFormat="1" applyFont="1" applyAlignment="1">
      <alignment vertical="center"/>
    </xf>
    <xf numFmtId="167" fontId="10" fillId="0" borderId="5" xfId="0" applyNumberFormat="1" applyFont="1" applyBorder="1" applyAlignment="1">
      <alignment vertical="center"/>
    </xf>
    <xf numFmtId="44" fontId="9" fillId="0" borderId="17" xfId="1" applyFont="1" applyFill="1" applyBorder="1" applyAlignment="1">
      <alignment vertical="center" wrapText="1"/>
    </xf>
    <xf numFmtId="44" fontId="10" fillId="0" borderId="6" xfId="1" applyFont="1" applyFill="1" applyBorder="1" applyAlignment="1" applyProtection="1">
      <alignment horizontal="right" vertical="center"/>
    </xf>
    <xf numFmtId="164" fontId="8" fillId="0" borderId="18" xfId="0" applyNumberFormat="1" applyFont="1" applyBorder="1" applyAlignment="1">
      <alignment horizontal="left" vertical="center"/>
    </xf>
    <xf numFmtId="164" fontId="8" fillId="0" borderId="19" xfId="0" applyNumberFormat="1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1" fontId="10" fillId="0" borderId="19" xfId="0" applyNumberFormat="1" applyFont="1" applyBorder="1" applyAlignment="1">
      <alignment vertical="center"/>
    </xf>
    <xf numFmtId="7" fontId="10" fillId="0" borderId="19" xfId="0" applyNumberFormat="1" applyFont="1" applyBorder="1" applyAlignment="1">
      <alignment vertical="center"/>
    </xf>
    <xf numFmtId="167" fontId="8" fillId="0" borderId="20" xfId="0" applyNumberFormat="1" applyFont="1" applyBorder="1" applyAlignment="1" applyProtection="1">
      <alignment vertical="center"/>
      <protection locked="0"/>
    </xf>
    <xf numFmtId="164" fontId="7" fillId="0" borderId="6" xfId="0" applyNumberFormat="1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164" fontId="8" fillId="0" borderId="21" xfId="0" applyNumberFormat="1" applyFont="1" applyBorder="1" applyAlignment="1">
      <alignment horizontal="left" vertical="center"/>
    </xf>
    <xf numFmtId="164" fontId="8" fillId="0" borderId="22" xfId="0" applyNumberFormat="1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1" fontId="10" fillId="0" borderId="22" xfId="0" applyNumberFormat="1" applyFont="1" applyBorder="1" applyAlignment="1">
      <alignment vertical="center"/>
    </xf>
    <xf numFmtId="7" fontId="10" fillId="0" borderId="22" xfId="0" applyNumberFormat="1" applyFont="1" applyBorder="1" applyAlignment="1">
      <alignment vertical="center"/>
    </xf>
    <xf numFmtId="167" fontId="8" fillId="0" borderId="23" xfId="0" applyNumberFormat="1" applyFont="1" applyBorder="1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164" fontId="8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7" fontId="10" fillId="0" borderId="0" xfId="0" applyNumberFormat="1" applyFont="1" applyAlignment="1">
      <alignment vertical="center"/>
    </xf>
    <xf numFmtId="167" fontId="8" fillId="0" borderId="0" xfId="0" applyNumberFormat="1" applyFont="1" applyAlignment="1" applyProtection="1">
      <alignment vertical="center"/>
      <protection locked="0"/>
    </xf>
    <xf numFmtId="0" fontId="16" fillId="0" borderId="14" xfId="3" applyFont="1" applyBorder="1" applyAlignment="1">
      <alignment horizontal="left" vertical="center"/>
    </xf>
    <xf numFmtId="0" fontId="8" fillId="0" borderId="6" xfId="3" applyFont="1" applyBorder="1" applyAlignment="1">
      <alignment horizontal="left"/>
    </xf>
    <xf numFmtId="0" fontId="10" fillId="0" borderId="6" xfId="3" applyBorder="1" applyAlignment="1">
      <alignment horizontal="left"/>
    </xf>
    <xf numFmtId="0" fontId="10" fillId="0" borderId="6" xfId="3" applyBorder="1" applyAlignment="1">
      <alignment horizontal="center"/>
    </xf>
    <xf numFmtId="165" fontId="10" fillId="0" borderId="6" xfId="3" applyNumberFormat="1" applyBorder="1" applyAlignment="1">
      <alignment horizontal="center"/>
    </xf>
    <xf numFmtId="167" fontId="10" fillId="0" borderId="15" xfId="3" applyNumberFormat="1" applyBorder="1" applyAlignment="1">
      <alignment horizontal="center"/>
    </xf>
    <xf numFmtId="0" fontId="10" fillId="0" borderId="14" xfId="3" applyBorder="1" applyAlignment="1">
      <alignment horizontal="left" vertical="center"/>
    </xf>
    <xf numFmtId="0" fontId="10" fillId="0" borderId="6" xfId="3" applyBorder="1" applyAlignment="1">
      <alignment horizontal="left" vertical="center"/>
    </xf>
    <xf numFmtId="0" fontId="10" fillId="0" borderId="6" xfId="3" applyBorder="1" applyAlignment="1">
      <alignment horizontal="center" vertical="center"/>
    </xf>
    <xf numFmtId="44" fontId="10" fillId="0" borderId="6" xfId="1" applyFont="1" applyFill="1" applyBorder="1" applyAlignment="1">
      <alignment horizontal="center" vertical="center"/>
    </xf>
    <xf numFmtId="44" fontId="10" fillId="0" borderId="15" xfId="1" applyFont="1" applyFill="1" applyBorder="1" applyAlignment="1">
      <alignment horizontal="center" vertical="center"/>
    </xf>
    <xf numFmtId="0" fontId="17" fillId="0" borderId="14" xfId="3" applyFont="1" applyBorder="1" applyAlignment="1">
      <alignment horizontal="left" vertical="center"/>
    </xf>
    <xf numFmtId="0" fontId="16" fillId="0" borderId="6" xfId="3" applyFont="1" applyBorder="1" applyAlignment="1">
      <alignment horizontal="right" vertical="center"/>
    </xf>
    <xf numFmtId="0" fontId="17" fillId="0" borderId="6" xfId="3" applyFont="1" applyBorder="1" applyAlignment="1">
      <alignment horizontal="left" vertical="center"/>
    </xf>
    <xf numFmtId="0" fontId="17" fillId="0" borderId="6" xfId="3" applyFont="1" applyBorder="1" applyAlignment="1">
      <alignment horizontal="center" vertical="center"/>
    </xf>
    <xf numFmtId="44" fontId="17" fillId="0" borderId="6" xfId="1" applyFont="1" applyFill="1" applyBorder="1" applyAlignment="1">
      <alignment horizontal="center" vertical="center"/>
    </xf>
    <xf numFmtId="44" fontId="16" fillId="0" borderId="15" xfId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/>
    <xf numFmtId="44" fontId="10" fillId="0" borderId="6" xfId="1" applyFont="1" applyFill="1" applyBorder="1" applyAlignment="1">
      <alignment horizontal="center"/>
    </xf>
    <xf numFmtId="44" fontId="10" fillId="0" borderId="15" xfId="1" applyFont="1" applyFill="1" applyBorder="1" applyAlignment="1">
      <alignment horizontal="center"/>
    </xf>
    <xf numFmtId="0" fontId="8" fillId="0" borderId="14" xfId="3" applyFont="1" applyBorder="1" applyAlignment="1">
      <alignment horizontal="left" vertical="center"/>
    </xf>
    <xf numFmtId="0" fontId="16" fillId="0" borderId="6" xfId="3" applyFont="1" applyBorder="1" applyAlignment="1">
      <alignment horizontal="left" vertical="center"/>
    </xf>
    <xf numFmtId="0" fontId="8" fillId="0" borderId="6" xfId="3" applyFont="1" applyBorder="1" applyAlignment="1">
      <alignment horizontal="left" vertical="center"/>
    </xf>
    <xf numFmtId="167" fontId="17" fillId="0" borderId="0" xfId="0" applyNumberFormat="1" applyFont="1" applyAlignment="1">
      <alignment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9" fontId="20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9" fontId="10" fillId="0" borderId="6" xfId="2" applyFont="1" applyFill="1" applyBorder="1" applyAlignment="1">
      <alignment horizontal="center" vertical="center"/>
    </xf>
    <xf numFmtId="167" fontId="8" fillId="0" borderId="0" xfId="0" applyNumberFormat="1" applyFont="1" applyAlignment="1">
      <alignment horizontal="right" vertical="center"/>
    </xf>
    <xf numFmtId="0" fontId="16" fillId="0" borderId="14" xfId="3" applyFont="1" applyBorder="1" applyAlignment="1">
      <alignment vertical="center"/>
    </xf>
    <xf numFmtId="0" fontId="10" fillId="0" borderId="14" xfId="3" applyBorder="1" applyAlignment="1">
      <alignment horizontal="left"/>
    </xf>
    <xf numFmtId="167" fontId="10" fillId="0" borderId="15" xfId="1" applyNumberFormat="1" applyFont="1" applyFill="1" applyBorder="1" applyAlignment="1">
      <alignment vertical="center"/>
    </xf>
    <xf numFmtId="44" fontId="10" fillId="0" borderId="15" xfId="1" applyFont="1" applyFill="1" applyBorder="1" applyAlignment="1">
      <alignment vertical="center"/>
    </xf>
    <xf numFmtId="0" fontId="17" fillId="0" borderId="27" xfId="3" applyFont="1" applyBorder="1" applyAlignment="1">
      <alignment horizontal="left"/>
    </xf>
    <xf numFmtId="0" fontId="16" fillId="0" borderId="28" xfId="3" applyFont="1" applyBorder="1" applyAlignment="1">
      <alignment horizontal="right" vertical="center"/>
    </xf>
    <xf numFmtId="0" fontId="17" fillId="0" borderId="28" xfId="3" applyFont="1" applyBorder="1" applyAlignment="1">
      <alignment horizontal="left"/>
    </xf>
    <xf numFmtId="9" fontId="17" fillId="0" borderId="28" xfId="2" applyFont="1" applyFill="1" applyBorder="1" applyAlignment="1">
      <alignment horizontal="center"/>
    </xf>
    <xf numFmtId="44" fontId="17" fillId="0" borderId="28" xfId="1" applyFont="1" applyFill="1" applyBorder="1" applyAlignment="1">
      <alignment horizontal="center"/>
    </xf>
    <xf numFmtId="44" fontId="16" fillId="0" borderId="29" xfId="1" applyFont="1" applyFill="1" applyBorder="1" applyAlignment="1">
      <alignment horizontal="center" vertical="center"/>
    </xf>
    <xf numFmtId="0" fontId="8" fillId="0" borderId="30" xfId="3" applyFont="1" applyBorder="1" applyAlignment="1">
      <alignment horizontal="left" vertical="center"/>
    </xf>
    <xf numFmtId="0" fontId="8" fillId="0" borderId="31" xfId="3" applyFont="1" applyBorder="1" applyAlignment="1">
      <alignment horizontal="left" vertical="center"/>
    </xf>
    <xf numFmtId="44" fontId="8" fillId="0" borderId="31" xfId="1" applyFont="1" applyFill="1" applyBorder="1" applyAlignment="1">
      <alignment horizontal="left" vertical="center"/>
    </xf>
    <xf numFmtId="44" fontId="8" fillId="0" borderId="32" xfId="1" applyFont="1" applyFill="1" applyBorder="1" applyAlignment="1">
      <alignment horizontal="left" vertical="center"/>
    </xf>
    <xf numFmtId="16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9" fontId="2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2" fontId="3" fillId="0" borderId="0" xfId="0" applyNumberFormat="1" applyFont="1"/>
    <xf numFmtId="165" fontId="3" fillId="0" borderId="0" xfId="0" applyNumberFormat="1" applyFont="1"/>
    <xf numFmtId="0" fontId="8" fillId="0" borderId="0" xfId="0" applyFont="1" applyAlignment="1">
      <alignment horizontal="right"/>
    </xf>
    <xf numFmtId="0" fontId="8" fillId="0" borderId="0" xfId="0" applyFont="1"/>
    <xf numFmtId="164" fontId="4" fillId="0" borderId="6" xfId="0" applyNumberFormat="1" applyFont="1" applyBorder="1" applyAlignment="1">
      <alignment horizontal="left"/>
    </xf>
    <xf numFmtId="164" fontId="8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43" fontId="0" fillId="0" borderId="0" xfId="4" applyFont="1"/>
    <xf numFmtId="168" fontId="0" fillId="0" borderId="0" xfId="4" applyNumberFormat="1" applyFont="1"/>
    <xf numFmtId="169" fontId="0" fillId="0" borderId="0" xfId="1" applyNumberFormat="1" applyFont="1"/>
    <xf numFmtId="44" fontId="0" fillId="0" borderId="0" xfId="1" applyFont="1"/>
    <xf numFmtId="2" fontId="10" fillId="0" borderId="6" xfId="0" applyNumberFormat="1" applyFont="1" applyBorder="1" applyAlignment="1">
      <alignment vertical="center"/>
    </xf>
    <xf numFmtId="0" fontId="10" fillId="0" borderId="6" xfId="0" applyFont="1" applyBorder="1"/>
    <xf numFmtId="1" fontId="3" fillId="0" borderId="0" xfId="0" applyNumberFormat="1" applyFont="1"/>
    <xf numFmtId="9" fontId="10" fillId="0" borderId="6" xfId="3" applyNumberForma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164" fontId="4" fillId="0" borderId="6" xfId="0" applyNumberFormat="1" applyFont="1" applyBorder="1" applyAlignment="1">
      <alignment horizontal="left" vertical="top"/>
    </xf>
    <xf numFmtId="0" fontId="7" fillId="0" borderId="7" xfId="0" applyFont="1" applyBorder="1" applyAlignment="1">
      <alignment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vertical="top"/>
    </xf>
    <xf numFmtId="164" fontId="4" fillId="0" borderId="6" xfId="0" applyNumberFormat="1" applyFont="1" applyBorder="1" applyAlignment="1">
      <alignment horizontal="left"/>
    </xf>
    <xf numFmtId="0" fontId="7" fillId="0" borderId="6" xfId="0" applyFont="1" applyBorder="1"/>
    <xf numFmtId="164" fontId="8" fillId="0" borderId="7" xfId="0" applyNumberFormat="1" applyFont="1" applyBorder="1" applyAlignment="1">
      <alignment horizontal="left"/>
    </xf>
    <xf numFmtId="0" fontId="0" fillId="0" borderId="7" xfId="0" applyBorder="1"/>
    <xf numFmtId="0" fontId="12" fillId="0" borderId="0" xfId="0" applyFont="1" applyAlignment="1">
      <alignment horizontal="center" vertical="center"/>
    </xf>
    <xf numFmtId="164" fontId="14" fillId="0" borderId="24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7" fillId="0" borderId="6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0" fillId="0" borderId="6" xfId="0" applyBorder="1" applyAlignment="1">
      <alignment vertical="top"/>
    </xf>
    <xf numFmtId="0" fontId="7" fillId="0" borderId="6" xfId="0" applyFont="1" applyBorder="1" applyAlignment="1">
      <alignment horizontal="left" vertical="top"/>
    </xf>
    <xf numFmtId="165" fontId="6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0" xfId="0" applyAlignment="1">
      <alignment horizontal="center"/>
    </xf>
    <xf numFmtId="1" fontId="10" fillId="0" borderId="6" xfId="0" applyNumberFormat="1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left" vertical="center" wrapText="1"/>
    </xf>
    <xf numFmtId="167" fontId="10" fillId="0" borderId="15" xfId="0" applyNumberFormat="1" applyFont="1" applyFill="1" applyBorder="1" applyAlignment="1">
      <alignment vertical="center"/>
    </xf>
    <xf numFmtId="1" fontId="3" fillId="0" borderId="6" xfId="0" applyNumberFormat="1" applyFont="1" applyFill="1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8" fillId="0" borderId="0" xfId="3" applyFont="1" applyBorder="1" applyAlignment="1">
      <alignment horizontal="left" vertical="center"/>
    </xf>
    <xf numFmtId="44" fontId="8" fillId="0" borderId="0" xfId="1" applyFont="1" applyFill="1" applyBorder="1" applyAlignment="1">
      <alignment horizontal="left" vertical="center"/>
    </xf>
    <xf numFmtId="10" fontId="8" fillId="0" borderId="0" xfId="3" applyNumberFormat="1" applyFont="1" applyBorder="1" applyAlignment="1">
      <alignment horizontal="left" vertical="center"/>
    </xf>
  </cellXfs>
  <cellStyles count="5">
    <cellStyle name="Comma" xfId="4" builtinId="3"/>
    <cellStyle name="Currency" xfId="1" builtinId="4"/>
    <cellStyle name="Normal" xfId="0" builtinId="0"/>
    <cellStyle name="Normal 2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rl H. MacNair" id="{9306FDC4-F4EB-4156-8FE5-B59D11968B50}" userId="S::KHMacNair@cityofmedford.org::d6f45bac-e25d-4e40-a1a4-9c2521de990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50" dT="2025-05-26T18:33:31.57" personId="{9306FDC4-F4EB-4156-8FE5-B59D11968B50}" id="{C5AB2BAA-152E-47AA-8F76-CEECE4A51A2F}">
    <text xml:space="preserve">MAJOR ADJUSTMENT AVG PRICE WAS $3876, MINOR ADJUSTMENT AVG PRICE WAS $1867. USED $3K TO COVER SOME OF EACH SINCE THE AMOUNT OF ADJUSTMENT NEEDED IS UNKNOWN AT THIS TIME.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27"/>
  <sheetViews>
    <sheetView tabSelected="1" topLeftCell="A93" zoomScaleNormal="100" workbookViewId="0">
      <selection activeCell="D146" sqref="D146"/>
    </sheetView>
  </sheetViews>
  <sheetFormatPr defaultColWidth="9.1796875" defaultRowHeight="15.5" x14ac:dyDescent="0.45"/>
  <cols>
    <col min="1" max="1" width="13.81640625" style="1" customWidth="1"/>
    <col min="2" max="2" width="55.7265625" style="1" customWidth="1"/>
    <col min="3" max="3" width="7" style="145" bestFit="1" customWidth="1"/>
    <col min="4" max="4" width="8.1796875" style="146" customWidth="1"/>
    <col min="5" max="5" width="13.90625" style="1" bestFit="1" customWidth="1"/>
    <col min="6" max="6" width="21.1796875" style="147" customWidth="1"/>
    <col min="7" max="7" width="35.81640625" style="1" customWidth="1"/>
    <col min="8" max="8" width="14" style="1" customWidth="1"/>
    <col min="9" max="9" width="46.81640625" style="1" bestFit="1" customWidth="1"/>
    <col min="10" max="16384" width="9.1796875" style="1"/>
  </cols>
  <sheetData>
    <row r="1" spans="1:9" ht="20.25" customHeight="1" x14ac:dyDescent="0.5">
      <c r="A1" s="176" t="s">
        <v>0</v>
      </c>
      <c r="B1" s="177"/>
      <c r="C1" s="177"/>
      <c r="D1" s="177"/>
      <c r="E1" s="177"/>
      <c r="F1" s="178"/>
    </row>
    <row r="2" spans="1:9" x14ac:dyDescent="0.45">
      <c r="A2" s="179" t="s">
        <v>1</v>
      </c>
      <c r="B2" s="180"/>
      <c r="C2" s="180"/>
      <c r="D2" s="180"/>
      <c r="E2" s="180"/>
      <c r="F2" s="181"/>
    </row>
    <row r="3" spans="1:9" ht="14.15" customHeight="1" x14ac:dyDescent="0.45">
      <c r="A3" s="164" t="s">
        <v>2</v>
      </c>
      <c r="B3" s="183" t="s">
        <v>3</v>
      </c>
      <c r="C3" s="184"/>
      <c r="D3" s="184"/>
      <c r="E3" s="164" t="s">
        <v>4</v>
      </c>
      <c r="F3" s="186" t="s">
        <v>5</v>
      </c>
    </row>
    <row r="4" spans="1:9" ht="14.15" customHeight="1" x14ac:dyDescent="0.45">
      <c r="A4" s="182"/>
      <c r="B4" s="184"/>
      <c r="C4" s="184"/>
      <c r="D4" s="184"/>
      <c r="E4" s="185"/>
      <c r="F4" s="187"/>
    </row>
    <row r="5" spans="1:9" ht="14.15" customHeight="1" x14ac:dyDescent="0.45">
      <c r="A5" s="164" t="s">
        <v>6</v>
      </c>
      <c r="B5" s="166" t="s">
        <v>7</v>
      </c>
      <c r="C5" s="150" t="s">
        <v>8</v>
      </c>
      <c r="D5" s="2" t="s">
        <v>9</v>
      </c>
      <c r="E5" s="168" t="s">
        <v>10</v>
      </c>
      <c r="F5" s="169"/>
    </row>
    <row r="6" spans="1:9" ht="14.15" customHeight="1" thickBot="1" x14ac:dyDescent="0.5">
      <c r="A6" s="165"/>
      <c r="B6" s="167"/>
      <c r="C6" s="151" t="s">
        <v>193</v>
      </c>
      <c r="D6" s="3">
        <v>45803</v>
      </c>
      <c r="E6" s="170" t="s">
        <v>11</v>
      </c>
      <c r="F6" s="171"/>
    </row>
    <row r="7" spans="1:9" ht="14.15" customHeight="1" thickTop="1" x14ac:dyDescent="0.45">
      <c r="A7" s="4" t="s">
        <v>12</v>
      </c>
      <c r="B7" s="5" t="s">
        <v>13</v>
      </c>
      <c r="C7" s="6" t="s">
        <v>14</v>
      </c>
      <c r="D7" s="7" t="s">
        <v>15</v>
      </c>
      <c r="E7" s="5" t="s">
        <v>16</v>
      </c>
      <c r="F7" s="8" t="s">
        <v>17</v>
      </c>
      <c r="I7" s="9"/>
    </row>
    <row r="8" spans="1:9" ht="14.15" customHeight="1" thickBot="1" x14ac:dyDescent="0.5">
      <c r="A8" s="10"/>
      <c r="B8" s="11"/>
      <c r="C8" s="12"/>
      <c r="D8" s="13"/>
      <c r="E8" s="11" t="s">
        <v>18</v>
      </c>
      <c r="F8" s="14" t="s">
        <v>18</v>
      </c>
      <c r="G8" s="15"/>
      <c r="I8" s="9"/>
    </row>
    <row r="9" spans="1:9" ht="14.15" customHeight="1" thickTop="1" x14ac:dyDescent="0.45">
      <c r="A9" s="16" t="s">
        <v>19</v>
      </c>
      <c r="B9" s="152"/>
      <c r="C9" s="17"/>
      <c r="D9" s="18"/>
      <c r="E9" s="152"/>
      <c r="F9" s="19"/>
      <c r="G9" s="20"/>
      <c r="H9" s="21"/>
      <c r="I9" s="9"/>
    </row>
    <row r="10" spans="1:9" ht="14.15" customHeight="1" x14ac:dyDescent="0.45">
      <c r="A10" s="22">
        <v>210</v>
      </c>
      <c r="B10" s="23" t="s">
        <v>20</v>
      </c>
      <c r="C10" s="24" t="s">
        <v>21</v>
      </c>
      <c r="D10" s="25" t="s">
        <v>22</v>
      </c>
      <c r="E10" s="26">
        <v>0.1</v>
      </c>
      <c r="F10" s="27">
        <f>SUM(F14:F123)*E10</f>
        <v>930495.78776672785</v>
      </c>
      <c r="G10" s="20"/>
    </row>
    <row r="11" spans="1:9" ht="14.15" customHeight="1" x14ac:dyDescent="0.45">
      <c r="A11" s="22">
        <v>221</v>
      </c>
      <c r="B11" s="23" t="s">
        <v>23</v>
      </c>
      <c r="C11" s="24" t="s">
        <v>21</v>
      </c>
      <c r="D11" s="25" t="s">
        <v>22</v>
      </c>
      <c r="E11" s="26">
        <v>0.1</v>
      </c>
      <c r="F11" s="28">
        <f>E11*(SUM(F14:F123))</f>
        <v>930495.78776672785</v>
      </c>
      <c r="G11" s="20"/>
    </row>
    <row r="12" spans="1:9" ht="14.15" customHeight="1" x14ac:dyDescent="0.45">
      <c r="A12" s="22">
        <v>280</v>
      </c>
      <c r="B12" s="23" t="s">
        <v>24</v>
      </c>
      <c r="C12" s="24" t="s">
        <v>21</v>
      </c>
      <c r="D12" s="25" t="s">
        <v>22</v>
      </c>
      <c r="E12" s="26">
        <v>0.02</v>
      </c>
      <c r="F12" s="28">
        <f>E12*(SUM(F14:F123))</f>
        <v>186099.15755334558</v>
      </c>
      <c r="G12" s="20"/>
    </row>
    <row r="13" spans="1:9" ht="14.15" customHeight="1" x14ac:dyDescent="0.45">
      <c r="A13" s="29" t="s">
        <v>25</v>
      </c>
      <c r="B13" s="30"/>
      <c r="C13" s="31"/>
      <c r="D13" s="32"/>
      <c r="E13" s="33"/>
      <c r="F13" s="34"/>
      <c r="G13" s="20"/>
    </row>
    <row r="14" spans="1:9" ht="14.15" customHeight="1" x14ac:dyDescent="0.45">
      <c r="A14" s="22">
        <v>305</v>
      </c>
      <c r="B14" s="23" t="s">
        <v>26</v>
      </c>
      <c r="C14" s="24" t="s">
        <v>21</v>
      </c>
      <c r="D14" s="25" t="s">
        <v>22</v>
      </c>
      <c r="E14" s="26">
        <v>0.02</v>
      </c>
      <c r="F14" s="28">
        <f>E14*(SUM(F16:F123))</f>
        <v>177237.29290794817</v>
      </c>
      <c r="G14" s="20"/>
    </row>
    <row r="15" spans="1:9" ht="14.15" customHeight="1" x14ac:dyDescent="0.45">
      <c r="A15" s="22">
        <v>310</v>
      </c>
      <c r="B15" s="23" t="s">
        <v>27</v>
      </c>
      <c r="C15" s="24" t="s">
        <v>21</v>
      </c>
      <c r="D15" s="25" t="s">
        <v>22</v>
      </c>
      <c r="E15" s="35">
        <v>0.03</v>
      </c>
      <c r="F15" s="28">
        <f>E15*(SUM(F16:F123))</f>
        <v>265855.93936192221</v>
      </c>
      <c r="G15" s="20"/>
    </row>
    <row r="16" spans="1:9" ht="14.15" customHeight="1" x14ac:dyDescent="0.45">
      <c r="A16" s="22">
        <v>310</v>
      </c>
      <c r="B16" s="23" t="s">
        <v>28</v>
      </c>
      <c r="C16" s="24" t="s">
        <v>29</v>
      </c>
      <c r="D16" s="36">
        <v>225</v>
      </c>
      <c r="E16" s="37">
        <v>13</v>
      </c>
      <c r="F16" s="28">
        <f t="shared" ref="F16:F29" si="0">D16*E16</f>
        <v>2925</v>
      </c>
      <c r="G16" s="20"/>
    </row>
    <row r="17" spans="1:7" ht="14.15" customHeight="1" x14ac:dyDescent="0.45">
      <c r="A17" s="22">
        <v>310</v>
      </c>
      <c r="B17" s="23" t="s">
        <v>30</v>
      </c>
      <c r="C17" s="24" t="s">
        <v>29</v>
      </c>
      <c r="D17" s="36">
        <v>550</v>
      </c>
      <c r="E17" s="37">
        <v>8</v>
      </c>
      <c r="F17" s="28">
        <f t="shared" si="0"/>
        <v>4400</v>
      </c>
      <c r="G17" s="20"/>
    </row>
    <row r="18" spans="1:7" ht="14.15" customHeight="1" x14ac:dyDescent="0.45">
      <c r="A18" s="22">
        <v>310</v>
      </c>
      <c r="B18" s="23" t="s">
        <v>31</v>
      </c>
      <c r="C18" s="24" t="s">
        <v>29</v>
      </c>
      <c r="D18" s="36">
        <f>92+170+100+294</f>
        <v>656</v>
      </c>
      <c r="E18" s="37">
        <v>75</v>
      </c>
      <c r="F18" s="28">
        <f t="shared" si="0"/>
        <v>49200</v>
      </c>
      <c r="G18" s="20"/>
    </row>
    <row r="19" spans="1:7" ht="14.15" customHeight="1" x14ac:dyDescent="0.45">
      <c r="A19" s="22">
        <v>310</v>
      </c>
      <c r="B19" s="23" t="s">
        <v>32</v>
      </c>
      <c r="C19" s="24" t="s">
        <v>33</v>
      </c>
      <c r="D19" s="36">
        <f>3000*34/9+500*12/9</f>
        <v>12000</v>
      </c>
      <c r="E19" s="37">
        <v>65</v>
      </c>
      <c r="F19" s="28">
        <f t="shared" si="0"/>
        <v>780000</v>
      </c>
      <c r="G19" s="20"/>
    </row>
    <row r="20" spans="1:7" ht="14.15" customHeight="1" x14ac:dyDescent="0.45">
      <c r="A20" s="22">
        <v>310</v>
      </c>
      <c r="B20" s="23" t="s">
        <v>34</v>
      </c>
      <c r="C20" s="24" t="s">
        <v>33</v>
      </c>
      <c r="D20" s="36">
        <f>137903/9-D19</f>
        <v>3322.5555555555547</v>
      </c>
      <c r="E20" s="37">
        <v>114</v>
      </c>
      <c r="F20" s="28">
        <f t="shared" si="0"/>
        <v>378771.33333333326</v>
      </c>
      <c r="G20" s="20"/>
    </row>
    <row r="21" spans="1:7" ht="14.15" customHeight="1" x14ac:dyDescent="0.45">
      <c r="A21" s="22">
        <v>320</v>
      </c>
      <c r="B21" s="23" t="s">
        <v>35</v>
      </c>
      <c r="C21" s="24" t="s">
        <v>36</v>
      </c>
      <c r="D21" s="158">
        <f>(78-34)*3000/43560-(D20*9/43560)</f>
        <v>2.3438246097337005</v>
      </c>
      <c r="E21" s="38">
        <v>30000</v>
      </c>
      <c r="F21" s="28">
        <f t="shared" si="0"/>
        <v>70314.73829201101</v>
      </c>
      <c r="G21" s="20"/>
    </row>
    <row r="22" spans="1:7" ht="14.15" customHeight="1" x14ac:dyDescent="0.45">
      <c r="A22" s="22">
        <v>330</v>
      </c>
      <c r="B22" s="23" t="s">
        <v>37</v>
      </c>
      <c r="C22" s="24" t="s">
        <v>38</v>
      </c>
      <c r="D22" s="39">
        <f>((121460*(27/12)/27)+(31225*(12/12)/27)+(1925*(12/12)/27)+(32230*(4/12)/27)+(16266*(6/12)/27))</f>
        <v>12048.567901234568</v>
      </c>
      <c r="E22" s="37">
        <v>76</v>
      </c>
      <c r="F22" s="27">
        <f t="shared" si="0"/>
        <v>915691.16049382719</v>
      </c>
      <c r="G22" s="20"/>
    </row>
    <row r="23" spans="1:7" ht="14.15" hidden="1" customHeight="1" x14ac:dyDescent="0.45">
      <c r="A23" s="22">
        <v>330</v>
      </c>
      <c r="B23" s="23" t="s">
        <v>39</v>
      </c>
      <c r="C23" s="24" t="s">
        <v>38</v>
      </c>
      <c r="D23" s="36">
        <v>0</v>
      </c>
      <c r="E23" s="37">
        <v>67</v>
      </c>
      <c r="F23" s="28">
        <f t="shared" si="0"/>
        <v>0</v>
      </c>
      <c r="G23" s="20"/>
    </row>
    <row r="24" spans="1:7" ht="14.15" customHeight="1" x14ac:dyDescent="0.45">
      <c r="A24" s="22">
        <v>331</v>
      </c>
      <c r="B24" s="23" t="s">
        <v>40</v>
      </c>
      <c r="C24" s="24" t="s">
        <v>33</v>
      </c>
      <c r="D24" s="160">
        <f>0.4*D27</f>
        <v>5399.7333333333336</v>
      </c>
      <c r="E24" s="37">
        <v>40</v>
      </c>
      <c r="F24" s="28">
        <f t="shared" si="0"/>
        <v>215989.33333333334</v>
      </c>
      <c r="G24" s="20"/>
    </row>
    <row r="25" spans="1:7" ht="14.15" hidden="1" customHeight="1" x14ac:dyDescent="0.45">
      <c r="A25" s="22">
        <v>331</v>
      </c>
      <c r="B25" s="23" t="s">
        <v>41</v>
      </c>
      <c r="C25" s="24" t="s">
        <v>33</v>
      </c>
      <c r="D25" s="36">
        <v>0</v>
      </c>
      <c r="E25" s="37">
        <v>63</v>
      </c>
      <c r="F25" s="28">
        <f t="shared" si="0"/>
        <v>0</v>
      </c>
      <c r="G25" s="20"/>
    </row>
    <row r="26" spans="1:7" ht="14.15" hidden="1" customHeight="1" x14ac:dyDescent="0.45">
      <c r="A26" s="22">
        <v>340</v>
      </c>
      <c r="B26" s="23" t="s">
        <v>42</v>
      </c>
      <c r="C26" s="24" t="s">
        <v>43</v>
      </c>
      <c r="D26" s="36">
        <v>0</v>
      </c>
      <c r="E26" s="38">
        <v>25</v>
      </c>
      <c r="F26" s="28">
        <f t="shared" si="0"/>
        <v>0</v>
      </c>
      <c r="G26" s="20"/>
    </row>
    <row r="27" spans="1:7" ht="14.15" customHeight="1" x14ac:dyDescent="0.45">
      <c r="A27" s="22">
        <v>350</v>
      </c>
      <c r="B27" s="23" t="s">
        <v>44</v>
      </c>
      <c r="C27" s="24" t="s">
        <v>33</v>
      </c>
      <c r="D27" s="36">
        <f>121494/9</f>
        <v>13499.333333333334</v>
      </c>
      <c r="E27" s="38">
        <v>4</v>
      </c>
      <c r="F27" s="28">
        <f t="shared" si="0"/>
        <v>53997.333333333336</v>
      </c>
      <c r="G27" s="20"/>
    </row>
    <row r="28" spans="1:7" ht="14.15" hidden="1" customHeight="1" x14ac:dyDescent="0.45">
      <c r="A28" s="22">
        <v>390</v>
      </c>
      <c r="B28" s="23" t="s">
        <v>45</v>
      </c>
      <c r="C28" s="24" t="s">
        <v>38</v>
      </c>
      <c r="D28" s="36">
        <v>0</v>
      </c>
      <c r="E28" s="37">
        <v>190</v>
      </c>
      <c r="F28" s="28">
        <f t="shared" si="0"/>
        <v>0</v>
      </c>
      <c r="G28" s="20"/>
    </row>
    <row r="29" spans="1:7" ht="14.15" hidden="1" customHeight="1" x14ac:dyDescent="0.45">
      <c r="A29" s="22">
        <v>390</v>
      </c>
      <c r="B29" s="23" t="s">
        <v>46</v>
      </c>
      <c r="C29" s="24" t="s">
        <v>38</v>
      </c>
      <c r="D29" s="36">
        <v>0</v>
      </c>
      <c r="E29" s="37">
        <v>135</v>
      </c>
      <c r="F29" s="28">
        <f t="shared" si="0"/>
        <v>0</v>
      </c>
      <c r="G29" s="20"/>
    </row>
    <row r="30" spans="1:7" ht="14.15" customHeight="1" x14ac:dyDescent="0.45">
      <c r="A30" s="29" t="s">
        <v>47</v>
      </c>
      <c r="B30" s="30"/>
      <c r="C30" s="31"/>
      <c r="D30" s="40"/>
      <c r="E30" s="41"/>
      <c r="F30" s="34"/>
      <c r="G30" s="20"/>
    </row>
    <row r="31" spans="1:7" ht="14.15" hidden="1" customHeight="1" x14ac:dyDescent="0.45">
      <c r="A31" s="22">
        <v>445</v>
      </c>
      <c r="B31" s="23" t="s">
        <v>48</v>
      </c>
      <c r="C31" s="24" t="s">
        <v>29</v>
      </c>
      <c r="D31" s="36">
        <v>0</v>
      </c>
      <c r="E31" s="37">
        <v>240</v>
      </c>
      <c r="F31" s="28">
        <f t="shared" ref="F31:F49" si="1">D31*E31</f>
        <v>0</v>
      </c>
      <c r="G31" s="20"/>
    </row>
    <row r="32" spans="1:7" ht="14.15" hidden="1" customHeight="1" x14ac:dyDescent="0.45">
      <c r="A32" s="42">
        <v>445</v>
      </c>
      <c r="B32" s="43" t="s">
        <v>49</v>
      </c>
      <c r="C32" s="43" t="s">
        <v>29</v>
      </c>
      <c r="D32" s="36">
        <v>0</v>
      </c>
      <c r="E32" s="37">
        <v>423</v>
      </c>
      <c r="F32" s="28">
        <f t="shared" si="1"/>
        <v>0</v>
      </c>
      <c r="G32" s="20"/>
    </row>
    <row r="33" spans="1:7" ht="14.15" hidden="1" customHeight="1" x14ac:dyDescent="0.45">
      <c r="A33" s="22">
        <v>445</v>
      </c>
      <c r="B33" s="43" t="s">
        <v>50</v>
      </c>
      <c r="C33" s="43" t="s">
        <v>29</v>
      </c>
      <c r="D33" s="36">
        <v>0</v>
      </c>
      <c r="E33" s="37">
        <v>662</v>
      </c>
      <c r="F33" s="28">
        <f t="shared" si="1"/>
        <v>0</v>
      </c>
      <c r="G33" s="20"/>
    </row>
    <row r="34" spans="1:7" ht="14.15" hidden="1" customHeight="1" x14ac:dyDescent="0.45">
      <c r="A34" s="22">
        <v>445</v>
      </c>
      <c r="B34" s="43" t="s">
        <v>51</v>
      </c>
      <c r="C34" s="43" t="s">
        <v>29</v>
      </c>
      <c r="D34" s="36">
        <v>0</v>
      </c>
      <c r="E34" s="37">
        <v>0</v>
      </c>
      <c r="F34" s="28">
        <f t="shared" si="1"/>
        <v>0</v>
      </c>
      <c r="G34" s="20"/>
    </row>
    <row r="35" spans="1:7" ht="14.15" customHeight="1" x14ac:dyDescent="0.45">
      <c r="A35" s="22"/>
      <c r="B35" s="43" t="s">
        <v>207</v>
      </c>
      <c r="C35" s="43" t="s">
        <v>59</v>
      </c>
      <c r="D35" s="36">
        <v>30</v>
      </c>
      <c r="E35" s="37">
        <v>4000</v>
      </c>
      <c r="F35" s="28">
        <f t="shared" si="1"/>
        <v>120000</v>
      </c>
      <c r="G35" s="20"/>
    </row>
    <row r="36" spans="1:7" ht="14.15" customHeight="1" x14ac:dyDescent="0.45">
      <c r="A36" s="22">
        <v>445</v>
      </c>
      <c r="B36" s="23" t="s">
        <v>52</v>
      </c>
      <c r="C36" s="24" t="s">
        <v>29</v>
      </c>
      <c r="D36" s="189">
        <f>131+28+287+17+28+49+996+18*6+28*6+45+11+83</f>
        <v>1951</v>
      </c>
      <c r="E36" s="37">
        <v>180</v>
      </c>
      <c r="F36" s="28">
        <f t="shared" si="1"/>
        <v>351180</v>
      </c>
      <c r="G36" s="20"/>
    </row>
    <row r="37" spans="1:7" ht="14.15" customHeight="1" x14ac:dyDescent="0.45">
      <c r="A37" s="22">
        <v>445</v>
      </c>
      <c r="B37" s="44" t="s">
        <v>53</v>
      </c>
      <c r="C37" s="44" t="s">
        <v>29</v>
      </c>
      <c r="D37" s="36">
        <f>256+190+238</f>
        <v>684</v>
      </c>
      <c r="E37" s="37">
        <v>127</v>
      </c>
      <c r="F37" s="28">
        <f t="shared" si="1"/>
        <v>86868</v>
      </c>
      <c r="G37" s="20"/>
    </row>
    <row r="38" spans="1:7" ht="14.15" hidden="1" customHeight="1" x14ac:dyDescent="0.45">
      <c r="A38" s="22">
        <v>445</v>
      </c>
      <c r="B38" s="23" t="s">
        <v>54</v>
      </c>
      <c r="C38" s="24" t="s">
        <v>29</v>
      </c>
      <c r="D38" s="39">
        <v>0</v>
      </c>
      <c r="E38" s="37">
        <v>266</v>
      </c>
      <c r="F38" s="27">
        <f t="shared" si="1"/>
        <v>0</v>
      </c>
      <c r="G38" s="20"/>
    </row>
    <row r="39" spans="1:7" ht="14.15" hidden="1" customHeight="1" x14ac:dyDescent="0.45">
      <c r="A39" s="22">
        <v>445</v>
      </c>
      <c r="B39" s="23" t="s">
        <v>55</v>
      </c>
      <c r="C39" s="24" t="s">
        <v>29</v>
      </c>
      <c r="D39" s="36">
        <v>0</v>
      </c>
      <c r="E39" s="37">
        <v>0</v>
      </c>
      <c r="F39" s="28">
        <f t="shared" si="1"/>
        <v>0</v>
      </c>
      <c r="G39" s="20"/>
    </row>
    <row r="40" spans="1:7" ht="14.15" hidden="1" customHeight="1" x14ac:dyDescent="0.45">
      <c r="A40" s="22">
        <v>445</v>
      </c>
      <c r="B40" s="23" t="s">
        <v>56</v>
      </c>
      <c r="C40" s="24" t="s">
        <v>29</v>
      </c>
      <c r="D40" s="36">
        <v>0</v>
      </c>
      <c r="E40" s="37">
        <v>0</v>
      </c>
      <c r="F40" s="28">
        <f t="shared" si="1"/>
        <v>0</v>
      </c>
      <c r="G40" s="20"/>
    </row>
    <row r="41" spans="1:7" ht="14.15" hidden="1" customHeight="1" x14ac:dyDescent="0.45">
      <c r="A41" s="22">
        <v>445</v>
      </c>
      <c r="B41" s="23" t="s">
        <v>57</v>
      </c>
      <c r="C41" s="24" t="s">
        <v>29</v>
      </c>
      <c r="D41" s="36">
        <v>0</v>
      </c>
      <c r="E41" s="37">
        <v>0</v>
      </c>
      <c r="F41" s="28">
        <f t="shared" si="1"/>
        <v>0</v>
      </c>
      <c r="G41" s="20"/>
    </row>
    <row r="42" spans="1:7" ht="14.15" customHeight="1" x14ac:dyDescent="0.45">
      <c r="A42" s="22">
        <v>470</v>
      </c>
      <c r="B42" s="23" t="s">
        <v>58</v>
      </c>
      <c r="C42" s="24" t="s">
        <v>59</v>
      </c>
      <c r="D42" s="189">
        <v>18</v>
      </c>
      <c r="E42" s="37">
        <v>12360</v>
      </c>
      <c r="F42" s="28">
        <f t="shared" si="1"/>
        <v>222480</v>
      </c>
      <c r="G42" s="20"/>
    </row>
    <row r="43" spans="1:7" ht="14.15" customHeight="1" x14ac:dyDescent="0.45">
      <c r="A43" s="22"/>
      <c r="B43" s="23" t="s">
        <v>198</v>
      </c>
      <c r="C43" s="24" t="s">
        <v>59</v>
      </c>
      <c r="D43" s="189">
        <v>2</v>
      </c>
      <c r="E43" s="37">
        <v>16000</v>
      </c>
      <c r="F43" s="28">
        <f t="shared" si="1"/>
        <v>32000</v>
      </c>
      <c r="G43" s="20"/>
    </row>
    <row r="44" spans="1:7" ht="14.15" customHeight="1" x14ac:dyDescent="0.45">
      <c r="A44" s="22">
        <v>470</v>
      </c>
      <c r="B44" s="23" t="s">
        <v>199</v>
      </c>
      <c r="C44" s="24" t="s">
        <v>59</v>
      </c>
      <c r="D44" s="189">
        <v>22</v>
      </c>
      <c r="E44" s="37">
        <v>4000</v>
      </c>
      <c r="F44" s="28">
        <f t="shared" si="1"/>
        <v>88000</v>
      </c>
      <c r="G44" s="20"/>
    </row>
    <row r="45" spans="1:7" ht="14.15" customHeight="1" x14ac:dyDescent="0.45">
      <c r="A45" s="190"/>
      <c r="B45" s="191" t="s">
        <v>195</v>
      </c>
      <c r="C45" s="192" t="s">
        <v>21</v>
      </c>
      <c r="D45" s="189">
        <v>2</v>
      </c>
      <c r="E45" s="37">
        <v>100000</v>
      </c>
      <c r="F45" s="193">
        <f t="shared" si="1"/>
        <v>200000</v>
      </c>
      <c r="G45" s="20"/>
    </row>
    <row r="46" spans="1:7" ht="14.15" customHeight="1" x14ac:dyDescent="0.45">
      <c r="A46" s="190"/>
      <c r="B46" s="191" t="s">
        <v>197</v>
      </c>
      <c r="C46" s="192" t="s">
        <v>196</v>
      </c>
      <c r="D46" s="189">
        <v>9350</v>
      </c>
      <c r="E46" s="37">
        <v>20</v>
      </c>
      <c r="F46" s="193">
        <f t="shared" si="1"/>
        <v>187000</v>
      </c>
      <c r="G46" s="20"/>
    </row>
    <row r="47" spans="1:7" ht="14.15" customHeight="1" x14ac:dyDescent="0.45">
      <c r="A47" s="22">
        <v>480</v>
      </c>
      <c r="B47" s="23" t="s">
        <v>60</v>
      </c>
      <c r="C47" s="24" t="s">
        <v>29</v>
      </c>
      <c r="D47" s="36">
        <v>660</v>
      </c>
      <c r="E47" s="38">
        <v>70</v>
      </c>
      <c r="F47" s="28">
        <f t="shared" si="1"/>
        <v>46200</v>
      </c>
      <c r="G47" s="20"/>
    </row>
    <row r="48" spans="1:7" ht="14.15" hidden="1" customHeight="1" x14ac:dyDescent="0.45">
      <c r="A48" s="45">
        <v>490</v>
      </c>
      <c r="B48" s="44" t="s">
        <v>61</v>
      </c>
      <c r="C48" s="44" t="s">
        <v>59</v>
      </c>
      <c r="D48" s="36">
        <v>0</v>
      </c>
      <c r="E48" s="37">
        <v>495</v>
      </c>
      <c r="F48" s="28">
        <f t="shared" si="1"/>
        <v>0</v>
      </c>
      <c r="G48" s="20"/>
    </row>
    <row r="49" spans="1:9" ht="14.15" hidden="1" customHeight="1" x14ac:dyDescent="0.45">
      <c r="A49" s="22">
        <v>490</v>
      </c>
      <c r="B49" s="23" t="s">
        <v>62</v>
      </c>
      <c r="C49" s="24" t="s">
        <v>59</v>
      </c>
      <c r="D49" s="39">
        <v>0</v>
      </c>
      <c r="E49" s="37">
        <v>1550</v>
      </c>
      <c r="F49" s="27">
        <f t="shared" si="1"/>
        <v>0</v>
      </c>
      <c r="G49" s="20"/>
    </row>
    <row r="50" spans="1:9" ht="14.15" customHeight="1" x14ac:dyDescent="0.45">
      <c r="A50" s="22">
        <v>490</v>
      </c>
      <c r="B50" s="23" t="s">
        <v>63</v>
      </c>
      <c r="C50" s="24" t="s">
        <v>59</v>
      </c>
      <c r="D50" s="36">
        <v>20</v>
      </c>
      <c r="E50" s="37">
        <v>3000</v>
      </c>
      <c r="F50" s="28">
        <f>D50*E50</f>
        <v>60000</v>
      </c>
      <c r="G50" s="20"/>
    </row>
    <row r="51" spans="1:9" ht="14.15" hidden="1" customHeight="1" x14ac:dyDescent="0.45">
      <c r="A51" s="29" t="s">
        <v>64</v>
      </c>
      <c r="B51" s="30"/>
      <c r="C51" s="31"/>
      <c r="D51" s="40"/>
      <c r="E51" s="41"/>
      <c r="F51" s="34"/>
      <c r="G51" s="20"/>
    </row>
    <row r="52" spans="1:9" ht="14.15" hidden="1" customHeight="1" x14ac:dyDescent="0.45">
      <c r="A52" s="46"/>
      <c r="B52" s="47" t="s">
        <v>65</v>
      </c>
      <c r="C52" s="48" t="s">
        <v>21</v>
      </c>
      <c r="D52" s="39">
        <v>0</v>
      </c>
      <c r="E52" s="49"/>
      <c r="F52" s="28">
        <f>D52*E52</f>
        <v>0</v>
      </c>
      <c r="G52" s="20"/>
    </row>
    <row r="53" spans="1:9" ht="14.15" hidden="1" customHeight="1" x14ac:dyDescent="0.45">
      <c r="A53" s="46"/>
      <c r="B53" s="47" t="s">
        <v>66</v>
      </c>
      <c r="C53" s="48" t="s">
        <v>21</v>
      </c>
      <c r="D53" s="39">
        <v>0</v>
      </c>
      <c r="E53" s="49"/>
      <c r="F53" s="28">
        <f>D53*E53</f>
        <v>0</v>
      </c>
      <c r="G53" s="20"/>
    </row>
    <row r="54" spans="1:9" ht="14.15" hidden="1" customHeight="1" x14ac:dyDescent="0.45">
      <c r="A54" s="46"/>
      <c r="B54" s="47" t="s">
        <v>67</v>
      </c>
      <c r="C54" s="48" t="s">
        <v>21</v>
      </c>
      <c r="D54" s="39">
        <v>0</v>
      </c>
      <c r="E54" s="49"/>
      <c r="F54" s="28">
        <f>D54*E54</f>
        <v>0</v>
      </c>
      <c r="G54" s="20"/>
    </row>
    <row r="55" spans="1:9" ht="14.15" hidden="1" customHeight="1" x14ac:dyDescent="0.45">
      <c r="A55" s="46"/>
      <c r="B55" s="50" t="s">
        <v>68</v>
      </c>
      <c r="C55" s="51" t="s">
        <v>69</v>
      </c>
      <c r="D55" s="36">
        <v>0</v>
      </c>
      <c r="E55" s="52">
        <v>492</v>
      </c>
      <c r="F55" s="28">
        <f>D55*E55</f>
        <v>0</v>
      </c>
      <c r="G55" s="20"/>
    </row>
    <row r="56" spans="1:9" ht="14.15" customHeight="1" x14ac:dyDescent="0.45">
      <c r="A56" s="29" t="s">
        <v>70</v>
      </c>
      <c r="B56" s="30"/>
      <c r="C56" s="31"/>
      <c r="D56" s="40"/>
      <c r="E56" s="41"/>
      <c r="F56" s="34"/>
      <c r="G56" s="20"/>
    </row>
    <row r="57" spans="1:9" s="55" customFormat="1" ht="14.15" hidden="1" customHeight="1" x14ac:dyDescent="0.25">
      <c r="A57" s="42">
        <v>620</v>
      </c>
      <c r="B57" s="50" t="s">
        <v>71</v>
      </c>
      <c r="C57" s="43" t="s">
        <v>33</v>
      </c>
      <c r="D57" s="159">
        <v>0</v>
      </c>
      <c r="E57" s="53">
        <v>5</v>
      </c>
      <c r="F57" s="28">
        <f>D57*E57</f>
        <v>0</v>
      </c>
      <c r="G57" s="54"/>
    </row>
    <row r="58" spans="1:9" ht="14.15" customHeight="1" x14ac:dyDescent="0.45">
      <c r="A58" s="22">
        <v>620</v>
      </c>
      <c r="B58" s="23" t="s">
        <v>191</v>
      </c>
      <c r="C58" s="24" t="s">
        <v>33</v>
      </c>
      <c r="D58" s="36">
        <f>4624/9</f>
        <v>513.77777777777783</v>
      </c>
      <c r="E58" s="38">
        <v>11.54</v>
      </c>
      <c r="F58" s="28">
        <f>D58*E58</f>
        <v>5928.9955555555553</v>
      </c>
      <c r="G58" s="20"/>
    </row>
    <row r="59" spans="1:9" ht="14.15" customHeight="1" x14ac:dyDescent="0.45">
      <c r="A59" s="22">
        <v>640</v>
      </c>
      <c r="B59" s="23" t="s">
        <v>72</v>
      </c>
      <c r="C59" s="24" t="s">
        <v>73</v>
      </c>
      <c r="D59" s="36">
        <f>D22*1.4</f>
        <v>16867.995061728394</v>
      </c>
      <c r="E59" s="38">
        <v>81</v>
      </c>
      <c r="F59" s="28">
        <f>D59*E59</f>
        <v>1366307.5999999999</v>
      </c>
      <c r="G59" s="20"/>
      <c r="H59" s="33"/>
      <c r="I59" s="33"/>
    </row>
    <row r="60" spans="1:9" ht="14.15" customHeight="1" x14ac:dyDescent="0.45">
      <c r="A60" s="22">
        <v>640</v>
      </c>
      <c r="B60" s="23" t="s">
        <v>74</v>
      </c>
      <c r="C60" s="24" t="s">
        <v>73</v>
      </c>
      <c r="D60" s="36">
        <f>(137+194)*2*(6/12)/27*1.4</f>
        <v>17.162962962962961</v>
      </c>
      <c r="E60" s="38">
        <v>60</v>
      </c>
      <c r="F60" s="28">
        <f>D60*E60</f>
        <v>1029.7777777777776</v>
      </c>
      <c r="G60" s="20"/>
      <c r="H60" s="33"/>
      <c r="I60" s="33"/>
    </row>
    <row r="61" spans="1:9" ht="14.15" customHeight="1" x14ac:dyDescent="0.45">
      <c r="A61" s="29" t="s">
        <v>75</v>
      </c>
      <c r="B61" s="56"/>
      <c r="C61" s="31"/>
      <c r="D61" s="40"/>
      <c r="E61" s="57"/>
      <c r="F61" s="34"/>
      <c r="G61" s="20"/>
      <c r="H61" s="33"/>
      <c r="I61" s="33"/>
    </row>
    <row r="62" spans="1:9" ht="14.15" hidden="1" customHeight="1" x14ac:dyDescent="0.45">
      <c r="A62" s="22">
        <v>730</v>
      </c>
      <c r="B62" s="23" t="s">
        <v>76</v>
      </c>
      <c r="C62" s="24" t="s">
        <v>73</v>
      </c>
      <c r="D62" s="36">
        <v>0</v>
      </c>
      <c r="E62" s="58">
        <v>0</v>
      </c>
      <c r="F62" s="28">
        <f t="shared" ref="F62:F74" si="2">D62*E62</f>
        <v>0</v>
      </c>
      <c r="G62" s="20"/>
      <c r="H62" s="56"/>
      <c r="I62" s="56"/>
    </row>
    <row r="63" spans="1:9" ht="14.15" hidden="1" customHeight="1" x14ac:dyDescent="0.45">
      <c r="A63" s="22">
        <v>744</v>
      </c>
      <c r="B63" s="23" t="s">
        <v>77</v>
      </c>
      <c r="C63" s="24" t="s">
        <v>73</v>
      </c>
      <c r="D63" s="36">
        <v>0</v>
      </c>
      <c r="E63" s="58">
        <v>190</v>
      </c>
      <c r="F63" s="28">
        <f t="shared" si="2"/>
        <v>0</v>
      </c>
      <c r="G63" s="20"/>
      <c r="H63" s="56"/>
      <c r="I63" s="56"/>
    </row>
    <row r="64" spans="1:9" ht="14.15" customHeight="1" x14ac:dyDescent="0.45">
      <c r="A64" s="22">
        <v>744</v>
      </c>
      <c r="B64" s="23" t="s">
        <v>78</v>
      </c>
      <c r="C64" s="24" t="s">
        <v>73</v>
      </c>
      <c r="D64" s="36">
        <f>((121460*(5/12)/27)+(1925*(5/12)/27)+(4624*(3/12)/27)+(31225*(3/12)/27)+(16266*(2/12)/27))*2.025</f>
        <v>4731.2750000000005</v>
      </c>
      <c r="E64" s="58">
        <v>300</v>
      </c>
      <c r="F64" s="28">
        <f t="shared" si="2"/>
        <v>1419382.5000000002</v>
      </c>
      <c r="G64" s="20"/>
      <c r="H64" s="56"/>
      <c r="I64" s="56"/>
    </row>
    <row r="65" spans="1:9" ht="14.15" hidden="1" customHeight="1" x14ac:dyDescent="0.45">
      <c r="A65" s="22">
        <v>746</v>
      </c>
      <c r="B65" s="23" t="s">
        <v>79</v>
      </c>
      <c r="C65" s="24" t="s">
        <v>29</v>
      </c>
      <c r="D65" s="39">
        <v>0</v>
      </c>
      <c r="E65" s="59">
        <v>0</v>
      </c>
      <c r="F65" s="27">
        <f t="shared" si="2"/>
        <v>0</v>
      </c>
      <c r="G65" s="20"/>
      <c r="H65" s="56"/>
      <c r="I65" s="56"/>
    </row>
    <row r="66" spans="1:9" ht="14.15" customHeight="1" x14ac:dyDescent="0.45">
      <c r="A66" s="22">
        <v>749</v>
      </c>
      <c r="B66" s="23" t="s">
        <v>80</v>
      </c>
      <c r="C66" s="24" t="s">
        <v>59</v>
      </c>
      <c r="D66" s="36">
        <v>35</v>
      </c>
      <c r="E66" s="38">
        <v>2000</v>
      </c>
      <c r="F66" s="28">
        <f>D66*E66</f>
        <v>70000</v>
      </c>
      <c r="G66" s="20"/>
      <c r="H66" s="56"/>
      <c r="I66" s="56"/>
    </row>
    <row r="67" spans="1:9" ht="14.15" hidden="1" customHeight="1" x14ac:dyDescent="0.45">
      <c r="A67" s="22">
        <v>755</v>
      </c>
      <c r="B67" s="23" t="s">
        <v>81</v>
      </c>
      <c r="C67" s="24" t="s">
        <v>33</v>
      </c>
      <c r="D67" s="36">
        <v>0</v>
      </c>
      <c r="E67" s="38">
        <v>0</v>
      </c>
      <c r="F67" s="28">
        <f>D67*E67</f>
        <v>0</v>
      </c>
      <c r="G67" s="20"/>
      <c r="H67" s="56"/>
      <c r="I67" s="56"/>
    </row>
    <row r="68" spans="1:9" ht="14.15" customHeight="1" x14ac:dyDescent="0.45">
      <c r="A68" s="22">
        <v>759</v>
      </c>
      <c r="B68" s="23" t="s">
        <v>82</v>
      </c>
      <c r="C68" s="24" t="s">
        <v>83</v>
      </c>
      <c r="D68" s="36">
        <v>7736</v>
      </c>
      <c r="E68" s="58">
        <v>30</v>
      </c>
      <c r="F68" s="28">
        <f>D68*E68</f>
        <v>232080</v>
      </c>
      <c r="G68" s="20"/>
      <c r="H68" s="56"/>
      <c r="I68" s="56"/>
    </row>
    <row r="69" spans="1:9" ht="14.15" hidden="1" customHeight="1" x14ac:dyDescent="0.45">
      <c r="A69" s="22">
        <v>759</v>
      </c>
      <c r="B69" s="23" t="s">
        <v>84</v>
      </c>
      <c r="C69" s="24" t="s">
        <v>29</v>
      </c>
      <c r="D69" s="39">
        <v>0</v>
      </c>
      <c r="E69" s="58">
        <v>0</v>
      </c>
      <c r="F69" s="28">
        <f t="shared" ref="F69:F70" si="3">D69*E69</f>
        <v>0</v>
      </c>
      <c r="G69" s="20"/>
      <c r="H69" s="56"/>
      <c r="I69" s="56"/>
    </row>
    <row r="70" spans="1:9" ht="14.15" customHeight="1" x14ac:dyDescent="0.45">
      <c r="A70" s="22">
        <v>759</v>
      </c>
      <c r="B70" s="23" t="s">
        <v>85</v>
      </c>
      <c r="C70" s="24" t="s">
        <v>29</v>
      </c>
      <c r="D70" s="36">
        <f>300+1038+280+455+445+490+310+977+390+58+180+469+321</f>
        <v>5713</v>
      </c>
      <c r="E70" s="58">
        <v>65</v>
      </c>
      <c r="F70" s="28">
        <f t="shared" si="3"/>
        <v>371345</v>
      </c>
      <c r="G70" s="20"/>
      <c r="H70" s="56"/>
      <c r="I70" s="56"/>
    </row>
    <row r="71" spans="1:9" ht="14.15" customHeight="1" x14ac:dyDescent="0.45">
      <c r="A71" s="22">
        <v>759</v>
      </c>
      <c r="B71" s="23" t="s">
        <v>86</v>
      </c>
      <c r="C71" s="24" t="s">
        <v>83</v>
      </c>
      <c r="D71" s="36">
        <v>32230</v>
      </c>
      <c r="E71" s="58">
        <v>20</v>
      </c>
      <c r="F71" s="28">
        <f t="shared" si="2"/>
        <v>644600</v>
      </c>
      <c r="G71" s="20"/>
      <c r="H71" s="56"/>
      <c r="I71" s="56"/>
    </row>
    <row r="72" spans="1:9" ht="14.15" customHeight="1" x14ac:dyDescent="0.45">
      <c r="A72" s="22"/>
      <c r="B72" s="23" t="s">
        <v>189</v>
      </c>
      <c r="C72" s="24" t="s">
        <v>83</v>
      </c>
      <c r="D72" s="36">
        <v>400</v>
      </c>
      <c r="E72" s="58">
        <v>50</v>
      </c>
      <c r="F72" s="28">
        <f t="shared" si="2"/>
        <v>20000</v>
      </c>
      <c r="G72" s="20"/>
      <c r="H72" s="56"/>
      <c r="I72" s="56"/>
    </row>
    <row r="73" spans="1:9" ht="14.15" customHeight="1" x14ac:dyDescent="0.45">
      <c r="A73" s="22"/>
      <c r="B73" s="23" t="s">
        <v>190</v>
      </c>
      <c r="C73" s="24" t="s">
        <v>59</v>
      </c>
      <c r="D73" s="36">
        <v>40</v>
      </c>
      <c r="E73" s="58">
        <v>1700</v>
      </c>
      <c r="F73" s="28">
        <f t="shared" si="2"/>
        <v>68000</v>
      </c>
      <c r="G73" s="20"/>
      <c r="H73" s="56"/>
      <c r="I73" s="56"/>
    </row>
    <row r="74" spans="1:9" ht="14.15" hidden="1" customHeight="1" x14ac:dyDescent="0.45">
      <c r="A74" s="22">
        <v>759</v>
      </c>
      <c r="B74" s="23" t="s">
        <v>87</v>
      </c>
      <c r="C74" s="24" t="s">
        <v>83</v>
      </c>
      <c r="D74" s="36">
        <v>0</v>
      </c>
      <c r="E74" s="58">
        <v>15</v>
      </c>
      <c r="F74" s="28">
        <f t="shared" si="2"/>
        <v>0</v>
      </c>
      <c r="G74" s="20"/>
      <c r="H74" s="56"/>
      <c r="I74" s="56"/>
    </row>
    <row r="75" spans="1:9" ht="14.15" customHeight="1" x14ac:dyDescent="0.45">
      <c r="A75" s="29" t="s">
        <v>88</v>
      </c>
      <c r="B75" s="30"/>
      <c r="C75" s="31"/>
      <c r="D75" s="40"/>
      <c r="E75" s="41"/>
      <c r="F75" s="34"/>
      <c r="G75" s="20"/>
      <c r="H75" s="56"/>
      <c r="I75" s="56"/>
    </row>
    <row r="76" spans="1:9" ht="14.15" hidden="1" customHeight="1" x14ac:dyDescent="0.45">
      <c r="A76" s="22">
        <v>810</v>
      </c>
      <c r="B76" s="23" t="s">
        <v>89</v>
      </c>
      <c r="C76" s="24" t="s">
        <v>29</v>
      </c>
      <c r="D76" s="36">
        <v>0</v>
      </c>
      <c r="E76" s="37">
        <v>0</v>
      </c>
      <c r="F76" s="28">
        <f t="shared" ref="F76:F87" si="4">D76*E76</f>
        <v>0</v>
      </c>
      <c r="G76" s="20"/>
    </row>
    <row r="77" spans="1:9" ht="14.15" customHeight="1" x14ac:dyDescent="0.45">
      <c r="A77" s="22">
        <v>810</v>
      </c>
      <c r="B77" s="23" t="s">
        <v>90</v>
      </c>
      <c r="C77" s="24" t="s">
        <v>29</v>
      </c>
      <c r="D77" s="36">
        <f>D17*1.1</f>
        <v>605</v>
      </c>
      <c r="E77" s="37">
        <v>80</v>
      </c>
      <c r="F77" s="28">
        <f t="shared" si="4"/>
        <v>48400</v>
      </c>
      <c r="G77" s="20"/>
    </row>
    <row r="78" spans="1:9" ht="14.15" hidden="1" customHeight="1" x14ac:dyDescent="0.45">
      <c r="A78" s="22">
        <v>810</v>
      </c>
      <c r="B78" s="23" t="s">
        <v>91</v>
      </c>
      <c r="C78" s="24" t="s">
        <v>29</v>
      </c>
      <c r="D78" s="36">
        <v>0</v>
      </c>
      <c r="E78" s="37">
        <v>0</v>
      </c>
      <c r="F78" s="28">
        <f t="shared" si="4"/>
        <v>0</v>
      </c>
      <c r="G78" s="20"/>
      <c r="H78" s="56"/>
      <c r="I78" s="56"/>
    </row>
    <row r="79" spans="1:9" ht="14.15" customHeight="1" x14ac:dyDescent="0.45">
      <c r="A79" s="22">
        <v>810</v>
      </c>
      <c r="B79" s="23" t="s">
        <v>92</v>
      </c>
      <c r="C79" s="24" t="s">
        <v>59</v>
      </c>
      <c r="D79" s="36">
        <v>2</v>
      </c>
      <c r="E79" s="38">
        <v>2000</v>
      </c>
      <c r="F79" s="28">
        <f t="shared" si="4"/>
        <v>4000</v>
      </c>
      <c r="G79" s="20"/>
      <c r="H79" s="56"/>
      <c r="I79" s="56"/>
    </row>
    <row r="80" spans="1:9" ht="14.15" hidden="1" customHeight="1" x14ac:dyDescent="0.45">
      <c r="A80" s="22">
        <v>810</v>
      </c>
      <c r="B80" s="23" t="s">
        <v>93</v>
      </c>
      <c r="C80" s="24" t="s">
        <v>59</v>
      </c>
      <c r="D80" s="36">
        <v>0</v>
      </c>
      <c r="E80" s="37">
        <v>0</v>
      </c>
      <c r="F80" s="28">
        <f t="shared" si="4"/>
        <v>0</v>
      </c>
      <c r="G80" s="20"/>
      <c r="H80" s="56"/>
      <c r="I80" s="56"/>
    </row>
    <row r="81" spans="1:9" ht="14.15" customHeight="1" x14ac:dyDescent="0.45">
      <c r="A81" s="22">
        <v>810</v>
      </c>
      <c r="B81" s="23" t="s">
        <v>94</v>
      </c>
      <c r="C81" s="24" t="s">
        <v>59</v>
      </c>
      <c r="D81" s="36">
        <v>2</v>
      </c>
      <c r="E81" s="37">
        <v>4500</v>
      </c>
      <c r="F81" s="28">
        <f t="shared" si="4"/>
        <v>9000</v>
      </c>
      <c r="G81" s="20"/>
      <c r="H81" s="56"/>
      <c r="I81" s="56"/>
    </row>
    <row r="82" spans="1:9" ht="14.15" customHeight="1" x14ac:dyDescent="0.45">
      <c r="A82" s="22">
        <v>810</v>
      </c>
      <c r="B82" s="23" t="s">
        <v>95</v>
      </c>
      <c r="C82" s="24" t="s">
        <v>59</v>
      </c>
      <c r="D82" s="36">
        <v>2</v>
      </c>
      <c r="E82" s="37">
        <v>4500</v>
      </c>
      <c r="F82" s="28">
        <f t="shared" si="4"/>
        <v>9000</v>
      </c>
      <c r="G82" s="20"/>
      <c r="H82" s="56"/>
      <c r="I82" s="56"/>
    </row>
    <row r="83" spans="1:9" ht="14.15" hidden="1" customHeight="1" x14ac:dyDescent="0.45">
      <c r="A83" s="22">
        <v>810</v>
      </c>
      <c r="B83" s="23" t="s">
        <v>96</v>
      </c>
      <c r="C83" s="24" t="s">
        <v>59</v>
      </c>
      <c r="D83" s="36">
        <v>0</v>
      </c>
      <c r="E83" s="37">
        <v>0</v>
      </c>
      <c r="F83" s="28">
        <f t="shared" si="4"/>
        <v>0</v>
      </c>
      <c r="G83" s="20"/>
      <c r="H83" s="56"/>
      <c r="I83" s="56"/>
    </row>
    <row r="84" spans="1:9" ht="14.15" hidden="1" customHeight="1" x14ac:dyDescent="0.45">
      <c r="A84" s="22">
        <v>812</v>
      </c>
      <c r="B84" s="23" t="s">
        <v>97</v>
      </c>
      <c r="C84" s="24" t="s">
        <v>29</v>
      </c>
      <c r="D84" s="36">
        <v>0</v>
      </c>
      <c r="E84" s="38">
        <v>0</v>
      </c>
      <c r="F84" s="28">
        <f t="shared" si="4"/>
        <v>0</v>
      </c>
      <c r="G84" s="20"/>
      <c r="H84" s="56"/>
      <c r="I84" s="56"/>
    </row>
    <row r="85" spans="1:9" ht="14.15" hidden="1" customHeight="1" x14ac:dyDescent="0.45">
      <c r="A85" s="22">
        <v>820</v>
      </c>
      <c r="B85" s="23" t="s">
        <v>98</v>
      </c>
      <c r="C85" s="24" t="s">
        <v>29</v>
      </c>
      <c r="D85" s="36">
        <v>0</v>
      </c>
      <c r="E85" s="38">
        <v>0</v>
      </c>
      <c r="F85" s="28">
        <f t="shared" si="4"/>
        <v>0</v>
      </c>
      <c r="G85" s="20"/>
      <c r="H85" s="56"/>
      <c r="I85" s="56"/>
    </row>
    <row r="86" spans="1:9" ht="14.15" hidden="1" customHeight="1" x14ac:dyDescent="0.45">
      <c r="A86" s="22">
        <v>820</v>
      </c>
      <c r="B86" s="23" t="s">
        <v>99</v>
      </c>
      <c r="C86" s="24" t="s">
        <v>29</v>
      </c>
      <c r="D86" s="36">
        <v>0</v>
      </c>
      <c r="E86" s="38">
        <v>0</v>
      </c>
      <c r="F86" s="28">
        <f t="shared" si="4"/>
        <v>0</v>
      </c>
      <c r="G86" s="20"/>
      <c r="H86" s="56"/>
      <c r="I86" s="56"/>
    </row>
    <row r="87" spans="1:9" ht="14.15" hidden="1" customHeight="1" x14ac:dyDescent="0.45">
      <c r="A87" s="22">
        <v>840</v>
      </c>
      <c r="B87" s="23" t="s">
        <v>100</v>
      </c>
      <c r="C87" s="24" t="s">
        <v>59</v>
      </c>
      <c r="D87" s="39">
        <v>0</v>
      </c>
      <c r="E87" s="59">
        <v>0</v>
      </c>
      <c r="F87" s="27">
        <f t="shared" si="4"/>
        <v>0</v>
      </c>
      <c r="G87" s="20"/>
      <c r="H87" s="56"/>
      <c r="I87" s="56"/>
    </row>
    <row r="88" spans="1:9" ht="14.15" hidden="1" customHeight="1" x14ac:dyDescent="0.45">
      <c r="A88" s="22">
        <v>840</v>
      </c>
      <c r="B88" s="23" t="s">
        <v>101</v>
      </c>
      <c r="C88" s="24" t="s">
        <v>59</v>
      </c>
      <c r="D88" s="36">
        <v>0</v>
      </c>
      <c r="E88" s="38">
        <v>0</v>
      </c>
      <c r="F88" s="28">
        <f>D88*E88</f>
        <v>0</v>
      </c>
      <c r="G88" s="20"/>
      <c r="H88" s="56"/>
      <c r="I88" s="56"/>
    </row>
    <row r="89" spans="1:9" ht="14.15" customHeight="1" x14ac:dyDescent="0.45">
      <c r="A89" s="22">
        <v>867</v>
      </c>
      <c r="B89" s="23" t="s">
        <v>102</v>
      </c>
      <c r="C89" s="24" t="s">
        <v>59</v>
      </c>
      <c r="D89" s="36">
        <v>20</v>
      </c>
      <c r="E89" s="38">
        <v>500</v>
      </c>
      <c r="F89" s="28">
        <f t="shared" ref="F89:F98" si="5">D89*E89</f>
        <v>10000</v>
      </c>
      <c r="G89" s="20"/>
      <c r="H89" s="56"/>
      <c r="I89" s="56"/>
    </row>
    <row r="90" spans="1:9" ht="14.15" hidden="1" customHeight="1" x14ac:dyDescent="0.45">
      <c r="A90" s="22">
        <v>867</v>
      </c>
      <c r="B90" s="23" t="s">
        <v>103</v>
      </c>
      <c r="C90" s="24" t="s">
        <v>59</v>
      </c>
      <c r="D90" s="36">
        <v>0</v>
      </c>
      <c r="E90" s="38">
        <v>0</v>
      </c>
      <c r="F90" s="28">
        <f t="shared" si="5"/>
        <v>0</v>
      </c>
      <c r="G90" s="20"/>
      <c r="H90" s="56"/>
      <c r="I90" s="56"/>
    </row>
    <row r="91" spans="1:9" ht="14.15" hidden="1" customHeight="1" x14ac:dyDescent="0.45">
      <c r="A91" s="22">
        <v>867</v>
      </c>
      <c r="B91" s="23" t="s">
        <v>104</v>
      </c>
      <c r="C91" s="24" t="s">
        <v>59</v>
      </c>
      <c r="D91" s="36">
        <v>0</v>
      </c>
      <c r="E91" s="38">
        <v>0</v>
      </c>
      <c r="F91" s="28">
        <f t="shared" si="5"/>
        <v>0</v>
      </c>
      <c r="G91" s="20"/>
      <c r="H91" s="56"/>
      <c r="I91" s="56"/>
    </row>
    <row r="92" spans="1:9" ht="14.15" customHeight="1" x14ac:dyDescent="0.45">
      <c r="A92" s="22">
        <v>867</v>
      </c>
      <c r="B92" s="23" t="s">
        <v>105</v>
      </c>
      <c r="C92" s="24" t="s">
        <v>59</v>
      </c>
      <c r="D92" s="36">
        <v>10</v>
      </c>
      <c r="E92" s="38">
        <v>400</v>
      </c>
      <c r="F92" s="28">
        <f t="shared" si="5"/>
        <v>4000</v>
      </c>
      <c r="G92" s="20"/>
      <c r="H92" s="56"/>
      <c r="I92" s="56"/>
    </row>
    <row r="93" spans="1:9" ht="14.15" customHeight="1" x14ac:dyDescent="0.45">
      <c r="A93" s="22">
        <v>867</v>
      </c>
      <c r="B93" s="23" t="s">
        <v>106</v>
      </c>
      <c r="C93" s="24" t="s">
        <v>83</v>
      </c>
      <c r="D93" s="36">
        <f>6*12</f>
        <v>72</v>
      </c>
      <c r="E93" s="38">
        <v>30</v>
      </c>
      <c r="F93" s="28">
        <f t="shared" si="5"/>
        <v>2160</v>
      </c>
      <c r="G93" s="20"/>
      <c r="H93" s="56"/>
      <c r="I93" s="56"/>
    </row>
    <row r="94" spans="1:9" ht="14.15" hidden="1" customHeight="1" x14ac:dyDescent="0.45">
      <c r="A94" s="22">
        <v>867</v>
      </c>
      <c r="B94" s="23" t="s">
        <v>107</v>
      </c>
      <c r="C94" s="24" t="s">
        <v>59</v>
      </c>
      <c r="D94" s="36">
        <v>0</v>
      </c>
      <c r="E94" s="38">
        <v>0</v>
      </c>
      <c r="F94" s="28">
        <f t="shared" si="5"/>
        <v>0</v>
      </c>
      <c r="G94" s="20"/>
      <c r="H94" s="56"/>
      <c r="I94" s="56"/>
    </row>
    <row r="95" spans="1:9" ht="14.15" customHeight="1" x14ac:dyDescent="0.45">
      <c r="A95" s="22">
        <v>855</v>
      </c>
      <c r="B95" s="23" t="s">
        <v>108</v>
      </c>
      <c r="C95" s="24" t="s">
        <v>59</v>
      </c>
      <c r="D95" s="36">
        <f>ROUND((2700-600)*2/48,0)</f>
        <v>88</v>
      </c>
      <c r="E95" s="38">
        <v>9</v>
      </c>
      <c r="F95" s="28">
        <f t="shared" si="5"/>
        <v>792</v>
      </c>
      <c r="G95" s="20"/>
      <c r="H95" s="56"/>
      <c r="I95" s="56"/>
    </row>
    <row r="96" spans="1:9" ht="14.15" customHeight="1" x14ac:dyDescent="0.45">
      <c r="A96" s="22">
        <v>855</v>
      </c>
      <c r="B96" s="23" t="s">
        <v>188</v>
      </c>
      <c r="C96" s="24" t="s">
        <v>59</v>
      </c>
      <c r="D96" s="36">
        <f>ROUND((300)/48,0)</f>
        <v>6</v>
      </c>
      <c r="E96" s="38">
        <v>25</v>
      </c>
      <c r="F96" s="28">
        <f t="shared" si="5"/>
        <v>150</v>
      </c>
      <c r="G96" s="20"/>
      <c r="H96" s="56"/>
      <c r="I96" s="56"/>
    </row>
    <row r="97" spans="1:9" ht="14.15" hidden="1" customHeight="1" x14ac:dyDescent="0.45">
      <c r="A97" s="22">
        <v>860</v>
      </c>
      <c r="B97" s="23" t="s">
        <v>109</v>
      </c>
      <c r="C97" s="24" t="s">
        <v>29</v>
      </c>
      <c r="D97" s="36">
        <v>0</v>
      </c>
      <c r="E97" s="38">
        <v>0</v>
      </c>
      <c r="F97" s="28">
        <f t="shared" si="5"/>
        <v>0</v>
      </c>
      <c r="G97" s="20"/>
      <c r="H97" s="56"/>
      <c r="I97" s="56"/>
    </row>
    <row r="98" spans="1:9" ht="14.15" customHeight="1" x14ac:dyDescent="0.45">
      <c r="A98" s="22">
        <v>865</v>
      </c>
      <c r="B98" s="23" t="s">
        <v>110</v>
      </c>
      <c r="C98" s="24" t="s">
        <v>29</v>
      </c>
      <c r="D98" s="36">
        <f>365*2+(2420*2-600)+300*2+(2420*2*0.375-600*3.75)</f>
        <v>5135</v>
      </c>
      <c r="E98" s="38">
        <v>4</v>
      </c>
      <c r="F98" s="28">
        <f t="shared" si="5"/>
        <v>20540</v>
      </c>
      <c r="G98" s="20"/>
      <c r="H98" s="56"/>
      <c r="I98" s="56"/>
    </row>
    <row r="99" spans="1:9" ht="14.15" hidden="1" customHeight="1" x14ac:dyDescent="0.45">
      <c r="A99" s="22">
        <v>857</v>
      </c>
      <c r="B99" s="23" t="s">
        <v>111</v>
      </c>
      <c r="C99" s="24" t="s">
        <v>112</v>
      </c>
      <c r="D99" s="36">
        <v>0</v>
      </c>
      <c r="E99" s="38">
        <v>0</v>
      </c>
      <c r="F99" s="28">
        <f>D99*E99</f>
        <v>0</v>
      </c>
      <c r="G99" s="20"/>
      <c r="H99" s="56"/>
      <c r="I99" s="56"/>
    </row>
    <row r="100" spans="1:9" ht="14.15" customHeight="1" x14ac:dyDescent="0.45">
      <c r="A100" s="29" t="s">
        <v>113</v>
      </c>
      <c r="B100" s="30"/>
      <c r="C100" s="31"/>
      <c r="D100" s="40"/>
      <c r="E100" s="60"/>
      <c r="F100" s="34"/>
      <c r="G100" s="20"/>
      <c r="H100" s="56"/>
      <c r="I100" s="56"/>
    </row>
    <row r="101" spans="1:9" ht="14.15" customHeight="1" x14ac:dyDescent="0.45">
      <c r="A101" s="22">
        <v>940</v>
      </c>
      <c r="B101" s="23" t="s">
        <v>114</v>
      </c>
      <c r="C101" s="24" t="s">
        <v>21</v>
      </c>
      <c r="D101" s="36">
        <v>1</v>
      </c>
      <c r="E101" s="61">
        <v>25000</v>
      </c>
      <c r="F101" s="28">
        <f>D101*E101</f>
        <v>25000</v>
      </c>
      <c r="G101" s="20"/>
      <c r="H101" s="56"/>
      <c r="I101" s="56"/>
    </row>
    <row r="102" spans="1:9" ht="14.15" hidden="1" customHeight="1" x14ac:dyDescent="0.45">
      <c r="A102" s="22"/>
      <c r="B102" s="23" t="s">
        <v>115</v>
      </c>
      <c r="C102" s="24" t="s">
        <v>21</v>
      </c>
      <c r="D102" s="36">
        <v>0</v>
      </c>
      <c r="E102" s="61">
        <v>0</v>
      </c>
      <c r="F102" s="28">
        <f t="shared" ref="F102:F109" si="6">D102*E102</f>
        <v>0</v>
      </c>
      <c r="G102" s="20"/>
      <c r="H102" s="56"/>
      <c r="I102" s="56"/>
    </row>
    <row r="103" spans="1:9" ht="14.15" hidden="1" customHeight="1" x14ac:dyDescent="0.45">
      <c r="A103" s="22">
        <v>990</v>
      </c>
      <c r="B103" s="23" t="s">
        <v>116</v>
      </c>
      <c r="C103" s="24" t="s">
        <v>59</v>
      </c>
      <c r="D103" s="36">
        <v>0</v>
      </c>
      <c r="E103" s="38">
        <v>0</v>
      </c>
      <c r="F103" s="28">
        <f t="shared" si="6"/>
        <v>0</v>
      </c>
      <c r="G103" s="20"/>
      <c r="H103" s="56"/>
      <c r="I103" s="56"/>
    </row>
    <row r="104" spans="1:9" ht="14.15" hidden="1" customHeight="1" x14ac:dyDescent="0.45">
      <c r="A104" s="22">
        <v>990</v>
      </c>
      <c r="B104" s="23" t="s">
        <v>117</v>
      </c>
      <c r="C104" s="24" t="s">
        <v>59</v>
      </c>
      <c r="D104" s="36">
        <v>0</v>
      </c>
      <c r="E104" s="38">
        <v>0</v>
      </c>
      <c r="F104" s="28">
        <f t="shared" si="6"/>
        <v>0</v>
      </c>
      <c r="G104" s="20"/>
      <c r="H104" s="56"/>
      <c r="I104" s="56"/>
    </row>
    <row r="105" spans="1:9" ht="14.15" hidden="1" customHeight="1" x14ac:dyDescent="0.45">
      <c r="A105" s="22">
        <v>990</v>
      </c>
      <c r="B105" s="23" t="s">
        <v>118</v>
      </c>
      <c r="C105" s="24" t="s">
        <v>21</v>
      </c>
      <c r="D105" s="36">
        <v>0</v>
      </c>
      <c r="E105" s="38">
        <v>0</v>
      </c>
      <c r="F105" s="28">
        <f t="shared" si="6"/>
        <v>0</v>
      </c>
      <c r="G105" s="20"/>
      <c r="H105" s="56"/>
      <c r="I105" s="56"/>
    </row>
    <row r="106" spans="1:9" ht="14.15" customHeight="1" x14ac:dyDescent="0.45">
      <c r="A106" s="22">
        <v>990</v>
      </c>
      <c r="B106" s="23" t="s">
        <v>119</v>
      </c>
      <c r="C106" s="24" t="s">
        <v>59</v>
      </c>
      <c r="D106" s="36">
        <v>15</v>
      </c>
      <c r="E106" s="38">
        <v>18000</v>
      </c>
      <c r="F106" s="28">
        <f t="shared" si="6"/>
        <v>270000</v>
      </c>
      <c r="G106" s="20"/>
      <c r="H106" s="56"/>
      <c r="I106" s="56"/>
    </row>
    <row r="107" spans="1:9" ht="14.15" hidden="1" customHeight="1" x14ac:dyDescent="0.45">
      <c r="A107" s="62"/>
      <c r="B107" s="23" t="s">
        <v>120</v>
      </c>
      <c r="C107" s="24" t="s">
        <v>59</v>
      </c>
      <c r="D107" s="36">
        <v>0</v>
      </c>
      <c r="E107" s="38">
        <v>0</v>
      </c>
      <c r="F107" s="28">
        <f t="shared" si="6"/>
        <v>0</v>
      </c>
      <c r="G107" s="20"/>
      <c r="H107" s="56"/>
      <c r="I107" s="56"/>
    </row>
    <row r="108" spans="1:9" ht="14.15" hidden="1" customHeight="1" x14ac:dyDescent="0.45">
      <c r="A108" s="63"/>
      <c r="B108" s="23" t="s">
        <v>121</v>
      </c>
      <c r="C108" s="64"/>
      <c r="D108" s="65">
        <v>0</v>
      </c>
      <c r="E108" s="38">
        <v>0</v>
      </c>
      <c r="F108" s="28">
        <f t="shared" si="6"/>
        <v>0</v>
      </c>
      <c r="G108" s="20"/>
      <c r="H108" s="56"/>
      <c r="I108" s="56"/>
    </row>
    <row r="109" spans="1:9" ht="14.15" customHeight="1" x14ac:dyDescent="0.45">
      <c r="A109" s="22"/>
      <c r="B109" s="23" t="s">
        <v>206</v>
      </c>
      <c r="C109" s="24" t="s">
        <v>59</v>
      </c>
      <c r="D109" s="36">
        <v>2</v>
      </c>
      <c r="E109" s="38">
        <v>15000</v>
      </c>
      <c r="F109" s="28">
        <f t="shared" si="6"/>
        <v>30000</v>
      </c>
      <c r="G109" s="20"/>
      <c r="H109" s="56"/>
      <c r="I109" s="56"/>
    </row>
    <row r="110" spans="1:9" ht="14.15" customHeight="1" x14ac:dyDescent="0.45">
      <c r="A110" s="29" t="s">
        <v>122</v>
      </c>
      <c r="B110" s="56"/>
      <c r="C110" s="66"/>
      <c r="D110" s="67"/>
      <c r="E110" s="68"/>
      <c r="F110" s="69"/>
      <c r="G110" s="20"/>
      <c r="H110" s="56"/>
      <c r="I110" s="56"/>
    </row>
    <row r="111" spans="1:9" ht="14.15" customHeight="1" x14ac:dyDescent="0.45">
      <c r="A111" s="22">
        <v>1030</v>
      </c>
      <c r="B111" s="23" t="s">
        <v>123</v>
      </c>
      <c r="C111" s="24" t="s">
        <v>36</v>
      </c>
      <c r="D111" s="158">
        <f>28000/43560</f>
        <v>0.64279155188246095</v>
      </c>
      <c r="E111" s="38">
        <v>15000</v>
      </c>
      <c r="F111" s="28">
        <f t="shared" ref="F111:F116" si="7">D111*E111</f>
        <v>9641.8732782369152</v>
      </c>
      <c r="G111" s="70"/>
      <c r="H111" s="56"/>
      <c r="I111" s="56"/>
    </row>
    <row r="112" spans="1:9" ht="14.15" customHeight="1" x14ac:dyDescent="0.45">
      <c r="A112" s="22">
        <v>1050</v>
      </c>
      <c r="B112" s="23" t="s">
        <v>124</v>
      </c>
      <c r="C112" s="24" t="s">
        <v>69</v>
      </c>
      <c r="D112" s="36">
        <f>285+527</f>
        <v>812</v>
      </c>
      <c r="E112" s="38">
        <v>110</v>
      </c>
      <c r="F112" s="28">
        <f>D112*E112</f>
        <v>89320</v>
      </c>
      <c r="G112" s="20"/>
      <c r="H112" s="56"/>
      <c r="I112" s="56"/>
    </row>
    <row r="113" spans="1:9" ht="14.15" customHeight="1" x14ac:dyDescent="0.45">
      <c r="A113" s="22">
        <v>1070</v>
      </c>
      <c r="B113" s="23" t="s">
        <v>125</v>
      </c>
      <c r="C113" s="24" t="s">
        <v>59</v>
      </c>
      <c r="D113" s="36">
        <v>4</v>
      </c>
      <c r="E113" s="38">
        <v>700</v>
      </c>
      <c r="F113" s="28">
        <f t="shared" si="7"/>
        <v>2800</v>
      </c>
      <c r="G113" s="20"/>
      <c r="H113" s="56"/>
      <c r="I113" s="56"/>
    </row>
    <row r="114" spans="1:9" ht="14.15" customHeight="1" x14ac:dyDescent="0.45">
      <c r="A114" s="22">
        <v>1070</v>
      </c>
      <c r="B114" s="23" t="s">
        <v>126</v>
      </c>
      <c r="C114" s="24" t="s">
        <v>59</v>
      </c>
      <c r="D114" s="36">
        <v>15</v>
      </c>
      <c r="E114" s="71">
        <v>1250</v>
      </c>
      <c r="F114" s="28">
        <f t="shared" si="7"/>
        <v>18750</v>
      </c>
      <c r="G114" s="20"/>
      <c r="H114" s="56"/>
      <c r="I114" s="56"/>
    </row>
    <row r="115" spans="1:9" ht="14.15" customHeight="1" x14ac:dyDescent="0.45">
      <c r="A115" s="62"/>
      <c r="B115" s="23" t="s">
        <v>194</v>
      </c>
      <c r="C115" s="24" t="s">
        <v>21</v>
      </c>
      <c r="D115" s="36">
        <v>1</v>
      </c>
      <c r="E115" s="38">
        <v>100000</v>
      </c>
      <c r="F115" s="28">
        <f t="shared" si="7"/>
        <v>100000</v>
      </c>
      <c r="G115" s="20"/>
      <c r="H115" s="56"/>
      <c r="I115" s="56"/>
    </row>
    <row r="116" spans="1:9" ht="14.15" customHeight="1" x14ac:dyDescent="0.45">
      <c r="A116" s="63"/>
      <c r="B116" s="23" t="s">
        <v>200</v>
      </c>
      <c r="C116" s="43" t="s">
        <v>196</v>
      </c>
      <c r="D116" s="194">
        <v>14462</v>
      </c>
      <c r="E116" s="59">
        <v>10</v>
      </c>
      <c r="F116" s="28">
        <f t="shared" si="7"/>
        <v>144620</v>
      </c>
      <c r="G116" s="20"/>
      <c r="H116" s="56"/>
      <c r="I116" s="56"/>
    </row>
    <row r="117" spans="1:9" ht="14.15" hidden="1" customHeight="1" x14ac:dyDescent="0.45">
      <c r="A117" s="72" t="s">
        <v>127</v>
      </c>
      <c r="B117" s="73"/>
      <c r="C117" s="74"/>
      <c r="D117" s="75"/>
      <c r="E117" s="76"/>
      <c r="F117" s="77"/>
      <c r="G117" s="20"/>
    </row>
    <row r="118" spans="1:9" ht="14.15" hidden="1" customHeight="1" x14ac:dyDescent="0.45">
      <c r="A118" s="22">
        <v>1095</v>
      </c>
      <c r="B118" s="78" t="s">
        <v>128</v>
      </c>
      <c r="C118" s="51" t="s">
        <v>59</v>
      </c>
      <c r="D118" s="36">
        <v>0</v>
      </c>
      <c r="E118" s="52">
        <v>0</v>
      </c>
      <c r="F118" s="28">
        <f t="shared" ref="F118:F122" si="8">D118*E118</f>
        <v>0</v>
      </c>
      <c r="G118" s="20"/>
    </row>
    <row r="119" spans="1:9" ht="14.15" hidden="1" customHeight="1" x14ac:dyDescent="0.45">
      <c r="A119" s="22">
        <v>1095</v>
      </c>
      <c r="B119" s="78" t="s">
        <v>129</v>
      </c>
      <c r="C119" s="51" t="s">
        <v>59</v>
      </c>
      <c r="D119" s="36">
        <v>0</v>
      </c>
      <c r="E119" s="52">
        <v>0</v>
      </c>
      <c r="F119" s="28">
        <f t="shared" si="8"/>
        <v>0</v>
      </c>
      <c r="G119" s="20"/>
    </row>
    <row r="120" spans="1:9" ht="14.15" hidden="1" customHeight="1" x14ac:dyDescent="0.45">
      <c r="A120" s="22">
        <v>1040</v>
      </c>
      <c r="B120" s="23" t="s">
        <v>130</v>
      </c>
      <c r="C120" s="51" t="s">
        <v>59</v>
      </c>
      <c r="D120" s="36">
        <v>0</v>
      </c>
      <c r="E120" s="52">
        <v>0</v>
      </c>
      <c r="F120" s="28">
        <f t="shared" si="8"/>
        <v>0</v>
      </c>
      <c r="G120" s="20"/>
    </row>
    <row r="121" spans="1:9" ht="14.15" hidden="1" customHeight="1" x14ac:dyDescent="0.45">
      <c r="A121" s="22">
        <v>1095</v>
      </c>
      <c r="B121" s="23" t="s">
        <v>131</v>
      </c>
      <c r="C121" s="51" t="s">
        <v>59</v>
      </c>
      <c r="D121" s="36">
        <v>0</v>
      </c>
      <c r="E121" s="52">
        <v>0</v>
      </c>
      <c r="F121" s="28">
        <f t="shared" si="8"/>
        <v>0</v>
      </c>
      <c r="G121" s="20"/>
    </row>
    <row r="122" spans="1:9" ht="14.15" hidden="1" customHeight="1" x14ac:dyDescent="0.45">
      <c r="A122" s="79">
        <v>759</v>
      </c>
      <c r="B122" s="47" t="s">
        <v>132</v>
      </c>
      <c r="C122" s="51" t="s">
        <v>69</v>
      </c>
      <c r="D122" s="36">
        <v>0</v>
      </c>
      <c r="E122" s="52">
        <v>0</v>
      </c>
      <c r="F122" s="28">
        <f t="shared" si="8"/>
        <v>0</v>
      </c>
      <c r="G122" s="20"/>
    </row>
    <row r="123" spans="1:9" ht="14.15" customHeight="1" x14ac:dyDescent="0.45">
      <c r="A123" s="80"/>
      <c r="B123" s="78"/>
      <c r="C123" s="81"/>
      <c r="D123" s="36"/>
      <c r="E123" s="52"/>
      <c r="F123" s="28"/>
      <c r="G123" s="172"/>
      <c r="H123" s="172"/>
      <c r="I123" s="172"/>
    </row>
    <row r="124" spans="1:9" ht="14.15" customHeight="1" thickBot="1" x14ac:dyDescent="0.5">
      <c r="A124" s="82" t="s">
        <v>133</v>
      </c>
      <c r="B124" s="83"/>
      <c r="C124" s="84"/>
      <c r="D124" s="85"/>
      <c r="E124" s="86"/>
      <c r="F124" s="87">
        <f>SUM(F10:F123)</f>
        <v>11352048.610754078</v>
      </c>
      <c r="G124" s="88"/>
    </row>
    <row r="125" spans="1:9" ht="14.15" customHeight="1" x14ac:dyDescent="0.45">
      <c r="A125" s="89"/>
      <c r="B125" s="89"/>
      <c r="C125" s="90"/>
      <c r="D125" s="67"/>
      <c r="E125" s="91"/>
      <c r="F125" s="92"/>
      <c r="G125" s="88"/>
    </row>
    <row r="126" spans="1:9" ht="14.15" customHeight="1" thickBot="1" x14ac:dyDescent="0.5">
      <c r="A126" s="89"/>
      <c r="B126" s="89"/>
      <c r="C126" s="90"/>
      <c r="D126" s="67"/>
      <c r="E126" s="91"/>
      <c r="F126" s="92"/>
      <c r="G126" s="88"/>
    </row>
    <row r="127" spans="1:9" ht="14.15" customHeight="1" x14ac:dyDescent="0.45">
      <c r="A127" s="173" t="s">
        <v>134</v>
      </c>
      <c r="B127" s="174"/>
      <c r="C127" s="174"/>
      <c r="D127" s="174"/>
      <c r="E127" s="174"/>
      <c r="F127" s="175"/>
      <c r="G127" s="88"/>
    </row>
    <row r="128" spans="1:9" ht="14.15" customHeight="1" x14ac:dyDescent="0.45">
      <c r="A128" s="93" t="s">
        <v>135</v>
      </c>
      <c r="B128" s="94"/>
      <c r="C128" s="95"/>
      <c r="D128" s="96"/>
      <c r="E128" s="97"/>
      <c r="F128" s="98"/>
      <c r="G128" s="88"/>
    </row>
    <row r="129" spans="1:9" ht="51" customHeight="1" x14ac:dyDescent="0.45">
      <c r="A129" s="99"/>
      <c r="B129" s="100" t="s">
        <v>136</v>
      </c>
      <c r="C129" s="100" t="s">
        <v>21</v>
      </c>
      <c r="D129" s="101">
        <v>1</v>
      </c>
      <c r="E129" s="102">
        <f>30773*9+28000*1+20068*2+230910+274000</f>
        <v>850003</v>
      </c>
      <c r="F129" s="103">
        <f>E129*D129</f>
        <v>850003</v>
      </c>
      <c r="G129" s="195" t="s">
        <v>201</v>
      </c>
    </row>
    <row r="130" spans="1:9" ht="14.15" customHeight="1" x14ac:dyDescent="0.45">
      <c r="A130" s="99"/>
      <c r="B130" s="100" t="s">
        <v>137</v>
      </c>
      <c r="C130" s="100" t="s">
        <v>138</v>
      </c>
      <c r="D130" s="101">
        <v>62</v>
      </c>
      <c r="E130" s="102">
        <v>10000</v>
      </c>
      <c r="F130" s="103">
        <f>E130*D130</f>
        <v>620000</v>
      </c>
      <c r="G130" s="196" t="s">
        <v>192</v>
      </c>
    </row>
    <row r="131" spans="1:9" s="111" customFormat="1" ht="14.15" customHeight="1" x14ac:dyDescent="0.5">
      <c r="A131" s="104"/>
      <c r="B131" s="105" t="s">
        <v>139</v>
      </c>
      <c r="C131" s="106"/>
      <c r="D131" s="107"/>
      <c r="E131" s="108"/>
      <c r="F131" s="109">
        <f>SUM(F129:F130)</f>
        <v>1470003</v>
      </c>
      <c r="G131" s="110"/>
    </row>
    <row r="132" spans="1:9" ht="14.15" customHeight="1" x14ac:dyDescent="0.45">
      <c r="A132" s="93" t="s">
        <v>140</v>
      </c>
      <c r="B132" s="94"/>
      <c r="C132" s="95"/>
      <c r="D132" s="96"/>
      <c r="E132" s="112"/>
      <c r="F132" s="113"/>
      <c r="G132" s="88"/>
    </row>
    <row r="133" spans="1:9" ht="14.15" customHeight="1" x14ac:dyDescent="0.45">
      <c r="A133" s="114"/>
      <c r="B133" s="115" t="s">
        <v>141</v>
      </c>
      <c r="C133" s="100"/>
      <c r="D133" s="101"/>
      <c r="E133" s="102"/>
      <c r="F133" s="103"/>
      <c r="G133" s="88"/>
    </row>
    <row r="134" spans="1:9" ht="14.15" customHeight="1" x14ac:dyDescent="0.45">
      <c r="A134" s="114"/>
      <c r="B134" s="116"/>
      <c r="C134" s="100"/>
      <c r="D134" s="101"/>
      <c r="E134" s="102"/>
      <c r="F134" s="103"/>
      <c r="G134" s="88"/>
    </row>
    <row r="135" spans="1:9" s="111" customFormat="1" ht="14.15" customHeight="1" x14ac:dyDescent="0.5">
      <c r="A135" s="104"/>
      <c r="B135" s="105" t="s">
        <v>142</v>
      </c>
      <c r="C135" s="100" t="s">
        <v>21</v>
      </c>
      <c r="D135" s="161">
        <v>0.01</v>
      </c>
      <c r="E135" s="102" t="s">
        <v>149</v>
      </c>
      <c r="F135" s="103">
        <f>D135*F124</f>
        <v>113520.48610754078</v>
      </c>
      <c r="G135" s="117"/>
      <c r="H135" s="118"/>
      <c r="I135" s="119"/>
    </row>
    <row r="136" spans="1:9" ht="14.15" customHeight="1" x14ac:dyDescent="0.45">
      <c r="A136" s="93" t="s">
        <v>143</v>
      </c>
      <c r="B136" s="94"/>
      <c r="C136" s="95"/>
      <c r="D136" s="96"/>
      <c r="E136" s="112"/>
      <c r="F136" s="113"/>
      <c r="G136" s="68"/>
      <c r="H136" s="120"/>
      <c r="I136" s="121"/>
    </row>
    <row r="137" spans="1:9" ht="14.15" customHeight="1" x14ac:dyDescent="0.45">
      <c r="A137" s="99"/>
      <c r="B137" s="100" t="s">
        <v>144</v>
      </c>
      <c r="C137" s="100" t="s">
        <v>21</v>
      </c>
      <c r="D137" s="101">
        <v>1</v>
      </c>
      <c r="E137" s="102">
        <v>50000</v>
      </c>
      <c r="F137" s="103">
        <f>E137</f>
        <v>50000</v>
      </c>
      <c r="G137" s="68"/>
      <c r="H137" s="122"/>
      <c r="I137" s="123"/>
    </row>
    <row r="138" spans="1:9" ht="14.15" customHeight="1" x14ac:dyDescent="0.45">
      <c r="A138" s="99"/>
      <c r="B138" s="100" t="s">
        <v>145</v>
      </c>
      <c r="C138" s="100" t="s">
        <v>21</v>
      </c>
      <c r="D138" s="125">
        <v>0.03</v>
      </c>
      <c r="E138" s="102" t="s">
        <v>149</v>
      </c>
      <c r="F138" s="103">
        <f t="shared" ref="F138:F140" si="9">D138*$F$124</f>
        <v>340561.45832262235</v>
      </c>
      <c r="G138" s="68"/>
      <c r="H138" s="122"/>
      <c r="I138" s="123"/>
    </row>
    <row r="139" spans="1:9" ht="14.15" customHeight="1" x14ac:dyDescent="0.45">
      <c r="A139" s="99"/>
      <c r="B139" s="100" t="s">
        <v>146</v>
      </c>
      <c r="C139" s="100" t="s">
        <v>21</v>
      </c>
      <c r="D139" s="125">
        <v>0.05</v>
      </c>
      <c r="E139" s="102" t="s">
        <v>149</v>
      </c>
      <c r="F139" s="103">
        <f t="shared" si="9"/>
        <v>567602.43053770391</v>
      </c>
      <c r="G139" s="68"/>
      <c r="H139" s="124"/>
      <c r="I139" s="123"/>
    </row>
    <row r="140" spans="1:9" ht="14.15" customHeight="1" x14ac:dyDescent="0.45">
      <c r="A140" s="99"/>
      <c r="B140" s="100" t="s">
        <v>147</v>
      </c>
      <c r="C140" s="100" t="s">
        <v>21</v>
      </c>
      <c r="D140" s="125">
        <v>0.03</v>
      </c>
      <c r="E140" s="102" t="s">
        <v>149</v>
      </c>
      <c r="F140" s="103">
        <f t="shared" si="9"/>
        <v>340561.45832262235</v>
      </c>
      <c r="G140" s="68"/>
    </row>
    <row r="141" spans="1:9" ht="14.15" customHeight="1" x14ac:dyDescent="0.45">
      <c r="A141" s="99"/>
      <c r="B141" s="100" t="s">
        <v>148</v>
      </c>
      <c r="C141" s="100" t="s">
        <v>21</v>
      </c>
      <c r="D141" s="125">
        <v>0.2</v>
      </c>
      <c r="E141" s="102" t="s">
        <v>149</v>
      </c>
      <c r="F141" s="103">
        <f>D141*$F$124</f>
        <v>2270409.7221508157</v>
      </c>
      <c r="G141" s="126"/>
    </row>
    <row r="142" spans="1:9" s="111" customFormat="1" ht="12.75" customHeight="1" x14ac:dyDescent="0.5">
      <c r="A142" s="104"/>
      <c r="B142" s="105" t="s">
        <v>150</v>
      </c>
      <c r="C142" s="106"/>
      <c r="D142" s="107"/>
      <c r="E142" s="108"/>
      <c r="F142" s="109">
        <f>SUM(F137:F141)</f>
        <v>3569135.0693337643</v>
      </c>
      <c r="G142" s="117"/>
    </row>
    <row r="143" spans="1:9" ht="12.75" customHeight="1" x14ac:dyDescent="0.45">
      <c r="A143" s="127" t="s">
        <v>151</v>
      </c>
      <c r="B143" s="94"/>
      <c r="C143" s="95"/>
      <c r="D143" s="96"/>
      <c r="E143" s="112"/>
      <c r="F143" s="113"/>
      <c r="G143" s="68"/>
    </row>
    <row r="144" spans="1:9" ht="12.75" customHeight="1" x14ac:dyDescent="0.45">
      <c r="A144" s="128"/>
      <c r="B144" s="100" t="s">
        <v>152</v>
      </c>
      <c r="C144" s="100"/>
      <c r="D144" s="101"/>
      <c r="E144" s="102"/>
      <c r="F144" s="129">
        <f>F124</f>
        <v>11352048.610754078</v>
      </c>
      <c r="G144" s="126"/>
    </row>
    <row r="145" spans="1:9" ht="12.75" customHeight="1" x14ac:dyDescent="0.45">
      <c r="A145" s="128"/>
      <c r="B145" s="100" t="s">
        <v>153</v>
      </c>
      <c r="C145" s="100" t="s">
        <v>21</v>
      </c>
      <c r="D145" s="101">
        <v>1</v>
      </c>
      <c r="E145" s="102">
        <v>25000</v>
      </c>
      <c r="F145" s="130">
        <f>E145</f>
        <v>25000</v>
      </c>
      <c r="G145" s="126"/>
    </row>
    <row r="146" spans="1:9" ht="12.75" customHeight="1" x14ac:dyDescent="0.45">
      <c r="A146" s="128"/>
      <c r="B146" s="100" t="s">
        <v>154</v>
      </c>
      <c r="C146" s="100" t="s">
        <v>21</v>
      </c>
      <c r="D146" s="125">
        <v>0.17</v>
      </c>
      <c r="E146" s="102" t="s">
        <v>149</v>
      </c>
      <c r="F146" s="130">
        <f>D146*$F$124</f>
        <v>1929848.2638281935</v>
      </c>
      <c r="G146" s="126"/>
    </row>
    <row r="147" spans="1:9" ht="12.75" customHeight="1" x14ac:dyDescent="0.45">
      <c r="A147" s="128"/>
      <c r="B147" s="100" t="s">
        <v>155</v>
      </c>
      <c r="C147" s="100" t="s">
        <v>21</v>
      </c>
      <c r="D147" s="125">
        <v>0.3</v>
      </c>
      <c r="E147" s="102" t="s">
        <v>149</v>
      </c>
      <c r="F147" s="130">
        <f>D147*$F$124</f>
        <v>3405614.5832262235</v>
      </c>
      <c r="I147" s="121"/>
    </row>
    <row r="148" spans="1:9" s="111" customFormat="1" ht="12.75" customHeight="1" thickBot="1" x14ac:dyDescent="0.55000000000000004">
      <c r="A148" s="131"/>
      <c r="B148" s="132" t="s">
        <v>133</v>
      </c>
      <c r="C148" s="133"/>
      <c r="D148" s="134"/>
      <c r="E148" s="135"/>
      <c r="F148" s="136">
        <f>SUM(F144:F147)</f>
        <v>16712511.457808495</v>
      </c>
      <c r="I148" s="119"/>
    </row>
    <row r="149" spans="1:9" s="144" customFormat="1" ht="12.75" customHeight="1" thickBot="1" x14ac:dyDescent="0.4">
      <c r="A149" s="137" t="s">
        <v>202</v>
      </c>
      <c r="B149" s="138"/>
      <c r="C149" s="138"/>
      <c r="D149" s="138"/>
      <c r="E149" s="139"/>
      <c r="F149" s="140">
        <f>F131+F135+F142+F148</f>
        <v>21865170.0132498</v>
      </c>
      <c r="G149" s="141"/>
      <c r="H149" s="142"/>
      <c r="I149" s="143"/>
    </row>
    <row r="150" spans="1:9" s="144" customFormat="1" ht="12.75" customHeight="1" x14ac:dyDescent="0.35">
      <c r="A150" s="197" t="s">
        <v>203</v>
      </c>
      <c r="B150" s="197"/>
      <c r="C150" s="197">
        <v>2029</v>
      </c>
      <c r="D150" s="197"/>
      <c r="E150" s="198"/>
      <c r="F150" s="198"/>
      <c r="G150" s="141"/>
      <c r="H150" s="142"/>
      <c r="I150" s="143"/>
    </row>
    <row r="151" spans="1:9" s="144" customFormat="1" ht="12.75" customHeight="1" x14ac:dyDescent="0.35">
      <c r="A151" s="197" t="s">
        <v>204</v>
      </c>
      <c r="B151" s="197"/>
      <c r="C151" s="199">
        <v>3.3000000000000002E-2</v>
      </c>
      <c r="D151" s="197"/>
      <c r="E151" s="198"/>
      <c r="F151" s="198"/>
      <c r="G151" s="141"/>
      <c r="H151" s="142"/>
      <c r="I151" s="143"/>
    </row>
    <row r="152" spans="1:9" s="144" customFormat="1" ht="12.75" customHeight="1" x14ac:dyDescent="0.35">
      <c r="A152" s="197" t="s">
        <v>205</v>
      </c>
      <c r="B152" s="197"/>
      <c r="C152" s="199"/>
      <c r="D152" s="197"/>
      <c r="E152" s="198"/>
      <c r="F152" s="198">
        <f>F149*(1+C151)^4</f>
        <v>24897408.480688687</v>
      </c>
      <c r="G152" s="141"/>
      <c r="H152" s="142"/>
      <c r="I152" s="143"/>
    </row>
    <row r="153" spans="1:9" ht="12.75" customHeight="1" x14ac:dyDescent="0.45">
      <c r="G153" s="147"/>
    </row>
    <row r="154" spans="1:9" ht="12.75" customHeight="1" x14ac:dyDescent="0.45">
      <c r="A154" s="148" t="s">
        <v>156</v>
      </c>
      <c r="B154" s="162" t="s">
        <v>157</v>
      </c>
      <c r="C154" s="162"/>
      <c r="D154" s="162"/>
      <c r="E154" s="162"/>
      <c r="F154" s="162"/>
    </row>
    <row r="155" spans="1:9" x14ac:dyDescent="0.45">
      <c r="A155" s="149"/>
      <c r="B155" s="162"/>
      <c r="C155" s="162"/>
      <c r="D155" s="162"/>
      <c r="E155" s="162"/>
      <c r="F155" s="162"/>
    </row>
    <row r="156" spans="1:9" ht="12.75" customHeight="1" x14ac:dyDescent="0.45">
      <c r="A156" s="149"/>
      <c r="B156" s="162"/>
      <c r="C156" s="162"/>
      <c r="D156" s="162"/>
      <c r="E156" s="162"/>
      <c r="F156" s="162"/>
    </row>
    <row r="157" spans="1:9" x14ac:dyDescent="0.45">
      <c r="A157" s="148" t="s">
        <v>158</v>
      </c>
      <c r="B157" s="162" t="s">
        <v>159</v>
      </c>
      <c r="C157" s="163"/>
      <c r="D157" s="163"/>
      <c r="E157" s="163"/>
      <c r="F157" s="163"/>
    </row>
    <row r="158" spans="1:9" ht="12.75" customHeight="1" x14ac:dyDescent="0.45">
      <c r="A158" s="148"/>
      <c r="B158" s="163"/>
      <c r="C158" s="163"/>
      <c r="D158" s="163"/>
      <c r="E158" s="163"/>
      <c r="F158" s="163"/>
    </row>
    <row r="159" spans="1:9" x14ac:dyDescent="0.45">
      <c r="A159" s="148" t="s">
        <v>160</v>
      </c>
      <c r="B159" s="162" t="s">
        <v>161</v>
      </c>
      <c r="C159" s="163"/>
      <c r="D159" s="163"/>
      <c r="E159" s="163"/>
      <c r="F159" s="163"/>
    </row>
    <row r="160" spans="1:9" ht="12.75" customHeight="1" x14ac:dyDescent="0.45">
      <c r="B160" s="163"/>
      <c r="C160" s="163"/>
      <c r="D160" s="163"/>
      <c r="E160" s="163"/>
      <c r="F160" s="163"/>
    </row>
    <row r="161" ht="12.75" customHeight="1" x14ac:dyDescent="0.45"/>
    <row r="162" ht="12.75" customHeight="1" x14ac:dyDescent="0.45"/>
    <row r="163" ht="12.75" customHeight="1" x14ac:dyDescent="0.45"/>
    <row r="164" ht="12.75" customHeight="1" x14ac:dyDescent="0.45"/>
    <row r="165" ht="12.75" customHeight="1" x14ac:dyDescent="0.45"/>
    <row r="166" ht="12.75" customHeight="1" x14ac:dyDescent="0.45"/>
    <row r="167" ht="12.75" customHeight="1" x14ac:dyDescent="0.45"/>
    <row r="168" ht="12.75" customHeight="1" x14ac:dyDescent="0.45"/>
    <row r="169" ht="12.75" customHeight="1" x14ac:dyDescent="0.45"/>
    <row r="170" ht="12.75" customHeight="1" x14ac:dyDescent="0.45"/>
    <row r="171" ht="12.75" customHeight="1" x14ac:dyDescent="0.45"/>
    <row r="172" ht="12.75" customHeight="1" x14ac:dyDescent="0.45"/>
    <row r="173" ht="12.75" customHeight="1" x14ac:dyDescent="0.45"/>
    <row r="174" ht="12.75" customHeight="1" x14ac:dyDescent="0.45"/>
    <row r="175" ht="12.75" customHeight="1" x14ac:dyDescent="0.45"/>
    <row r="176" ht="12.75" customHeight="1" x14ac:dyDescent="0.45"/>
    <row r="177" ht="12.75" customHeight="1" x14ac:dyDescent="0.45"/>
    <row r="178" ht="12.75" customHeight="1" x14ac:dyDescent="0.45"/>
    <row r="179" ht="12.75" customHeight="1" x14ac:dyDescent="0.45"/>
    <row r="180" ht="12.75" customHeight="1" x14ac:dyDescent="0.45"/>
    <row r="181" ht="12.75" customHeight="1" x14ac:dyDescent="0.45"/>
    <row r="182" ht="12.75" customHeight="1" x14ac:dyDescent="0.45"/>
    <row r="183" ht="12.75" customHeight="1" x14ac:dyDescent="0.45"/>
    <row r="184" ht="12.75" customHeight="1" x14ac:dyDescent="0.45"/>
    <row r="185" ht="12.75" customHeight="1" x14ac:dyDescent="0.45"/>
    <row r="186" ht="12.75" customHeight="1" x14ac:dyDescent="0.45"/>
    <row r="187" ht="12.75" customHeight="1" x14ac:dyDescent="0.45"/>
    <row r="188" ht="12.75" customHeight="1" x14ac:dyDescent="0.45"/>
    <row r="189" ht="12.75" customHeight="1" x14ac:dyDescent="0.45"/>
    <row r="190" ht="12.75" customHeight="1" x14ac:dyDescent="0.45"/>
    <row r="191" ht="12.75" customHeight="1" x14ac:dyDescent="0.45"/>
    <row r="192" ht="12.75" customHeight="1" x14ac:dyDescent="0.45"/>
    <row r="193" ht="12.75" customHeight="1" x14ac:dyDescent="0.45"/>
    <row r="194" ht="12.75" customHeight="1" x14ac:dyDescent="0.45"/>
    <row r="195" ht="12.75" customHeight="1" x14ac:dyDescent="0.45"/>
    <row r="196" ht="12.75" customHeight="1" x14ac:dyDescent="0.45"/>
    <row r="197" ht="12.75" customHeight="1" x14ac:dyDescent="0.45"/>
    <row r="198" ht="12.75" customHeight="1" x14ac:dyDescent="0.45"/>
    <row r="199" ht="12.75" customHeight="1" x14ac:dyDescent="0.45"/>
    <row r="200" ht="12.75" customHeight="1" x14ac:dyDescent="0.45"/>
    <row r="201" ht="12.75" customHeight="1" x14ac:dyDescent="0.45"/>
    <row r="202" ht="12.75" customHeight="1" x14ac:dyDescent="0.45"/>
    <row r="203" ht="12.75" customHeight="1" x14ac:dyDescent="0.45"/>
    <row r="204" ht="12.75" customHeight="1" x14ac:dyDescent="0.45"/>
    <row r="205" ht="12.75" customHeight="1" x14ac:dyDescent="0.45"/>
    <row r="206" ht="12.75" customHeight="1" x14ac:dyDescent="0.45"/>
    <row r="207" ht="12.75" customHeight="1" x14ac:dyDescent="0.45"/>
    <row r="208" ht="12.75" customHeight="1" x14ac:dyDescent="0.45"/>
    <row r="209" ht="12.75" customHeight="1" x14ac:dyDescent="0.45"/>
    <row r="210" ht="12.75" customHeight="1" x14ac:dyDescent="0.45"/>
    <row r="211" ht="12.75" customHeight="1" x14ac:dyDescent="0.45"/>
    <row r="212" ht="12.75" customHeight="1" x14ac:dyDescent="0.45"/>
    <row r="213" ht="12.75" customHeight="1" x14ac:dyDescent="0.45"/>
    <row r="214" ht="12.75" customHeight="1" x14ac:dyDescent="0.45"/>
    <row r="215" ht="12.75" customHeight="1" x14ac:dyDescent="0.45"/>
    <row r="216" ht="12.75" customHeight="1" x14ac:dyDescent="0.45"/>
    <row r="217" ht="12.75" customHeight="1" x14ac:dyDescent="0.45"/>
    <row r="218" ht="12.75" customHeight="1" x14ac:dyDescent="0.45"/>
    <row r="219" ht="12.75" customHeight="1" x14ac:dyDescent="0.45"/>
    <row r="220" ht="12.75" customHeight="1" x14ac:dyDescent="0.45"/>
    <row r="221" ht="12.75" customHeight="1" x14ac:dyDescent="0.45"/>
    <row r="222" ht="12.75" customHeight="1" x14ac:dyDescent="0.45"/>
    <row r="223" ht="12.75" customHeight="1" x14ac:dyDescent="0.45"/>
    <row r="224" ht="12.75" customHeight="1" x14ac:dyDescent="0.45"/>
    <row r="225" ht="12.75" customHeight="1" x14ac:dyDescent="0.45"/>
    <row r="226" ht="12.75" customHeight="1" x14ac:dyDescent="0.45"/>
    <row r="227" ht="12.75" customHeight="1" x14ac:dyDescent="0.45"/>
    <row r="228" ht="12.75" customHeight="1" x14ac:dyDescent="0.45"/>
    <row r="229" ht="12.75" customHeight="1" x14ac:dyDescent="0.45"/>
    <row r="230" ht="12.75" customHeight="1" x14ac:dyDescent="0.45"/>
    <row r="231" ht="12.75" customHeight="1" x14ac:dyDescent="0.45"/>
    <row r="232" ht="12.75" customHeight="1" x14ac:dyDescent="0.45"/>
    <row r="233" ht="12.75" customHeight="1" x14ac:dyDescent="0.45"/>
    <row r="234" ht="12.75" customHeight="1" x14ac:dyDescent="0.45"/>
    <row r="235" ht="12.75" customHeight="1" x14ac:dyDescent="0.45"/>
    <row r="236" ht="12.75" customHeight="1" x14ac:dyDescent="0.45"/>
    <row r="237" ht="12.75" customHeight="1" x14ac:dyDescent="0.45"/>
    <row r="238" ht="12.75" customHeight="1" x14ac:dyDescent="0.45"/>
    <row r="239" ht="12.75" customHeight="1" x14ac:dyDescent="0.45"/>
    <row r="240" ht="12.75" customHeight="1" x14ac:dyDescent="0.45"/>
    <row r="241" ht="12.75" customHeight="1" x14ac:dyDescent="0.45"/>
    <row r="242" ht="12.75" customHeight="1" x14ac:dyDescent="0.45"/>
    <row r="243" ht="12.75" customHeight="1" x14ac:dyDescent="0.45"/>
    <row r="244" ht="12.75" customHeight="1" x14ac:dyDescent="0.45"/>
    <row r="245" ht="12.75" customHeight="1" x14ac:dyDescent="0.45"/>
    <row r="246" ht="12.75" customHeight="1" x14ac:dyDescent="0.45"/>
    <row r="247" ht="12.75" customHeight="1" x14ac:dyDescent="0.45"/>
    <row r="248" ht="12.75" customHeight="1" x14ac:dyDescent="0.45"/>
    <row r="249" ht="12.75" customHeight="1" x14ac:dyDescent="0.45"/>
    <row r="250" ht="12.75" customHeight="1" x14ac:dyDescent="0.45"/>
    <row r="251" ht="12.75" customHeight="1" x14ac:dyDescent="0.45"/>
    <row r="252" ht="12.75" customHeight="1" x14ac:dyDescent="0.45"/>
    <row r="253" ht="12.75" customHeight="1" x14ac:dyDescent="0.45"/>
    <row r="254" ht="12.75" customHeight="1" x14ac:dyDescent="0.45"/>
    <row r="255" ht="12.75" customHeight="1" x14ac:dyDescent="0.45"/>
    <row r="256" ht="12.75" customHeight="1" x14ac:dyDescent="0.45"/>
    <row r="257" ht="12.75" customHeight="1" x14ac:dyDescent="0.45"/>
    <row r="258" ht="12.75" customHeight="1" x14ac:dyDescent="0.45"/>
    <row r="259" ht="12.75" customHeight="1" x14ac:dyDescent="0.45"/>
    <row r="260" ht="12.75" customHeight="1" x14ac:dyDescent="0.45"/>
    <row r="261" ht="12.75" customHeight="1" x14ac:dyDescent="0.45"/>
    <row r="262" ht="12.75" customHeight="1" x14ac:dyDescent="0.45"/>
    <row r="263" ht="12.75" customHeight="1" x14ac:dyDescent="0.45"/>
    <row r="264" ht="12.75" customHeight="1" x14ac:dyDescent="0.45"/>
    <row r="265" ht="12.75" customHeight="1" x14ac:dyDescent="0.45"/>
    <row r="266" ht="12.75" customHeight="1" x14ac:dyDescent="0.45"/>
    <row r="267" ht="12.75" customHeight="1" x14ac:dyDescent="0.45"/>
    <row r="268" ht="12.75" customHeight="1" x14ac:dyDescent="0.45"/>
    <row r="269" ht="12.75" customHeight="1" x14ac:dyDescent="0.45"/>
    <row r="270" ht="12.75" customHeight="1" x14ac:dyDescent="0.45"/>
    <row r="271" ht="12.75" customHeight="1" x14ac:dyDescent="0.45"/>
    <row r="272" ht="12.75" customHeight="1" x14ac:dyDescent="0.45"/>
    <row r="273" ht="12.75" customHeight="1" x14ac:dyDescent="0.45"/>
    <row r="274" ht="12.75" customHeight="1" x14ac:dyDescent="0.45"/>
    <row r="275" ht="12.75" customHeight="1" x14ac:dyDescent="0.45"/>
    <row r="276" ht="12.75" customHeight="1" x14ac:dyDescent="0.45"/>
    <row r="277" ht="12.75" customHeight="1" x14ac:dyDescent="0.45"/>
    <row r="278" ht="12.75" customHeight="1" x14ac:dyDescent="0.45"/>
    <row r="279" ht="12.75" customHeight="1" x14ac:dyDescent="0.45"/>
    <row r="280" ht="12.75" customHeight="1" x14ac:dyDescent="0.45"/>
    <row r="281" ht="12.75" customHeight="1" x14ac:dyDescent="0.45"/>
    <row r="282" ht="12.75" customHeight="1" x14ac:dyDescent="0.45"/>
    <row r="283" ht="12.75" customHeight="1" x14ac:dyDescent="0.45"/>
    <row r="284" ht="12.75" customHeight="1" x14ac:dyDescent="0.45"/>
    <row r="285" ht="12.75" customHeight="1" x14ac:dyDescent="0.45"/>
    <row r="286" ht="12.75" customHeight="1" x14ac:dyDescent="0.45"/>
    <row r="287" ht="12.75" customHeight="1" x14ac:dyDescent="0.45"/>
    <row r="288" ht="12.75" customHeight="1" x14ac:dyDescent="0.45"/>
    <row r="289" ht="12.75" customHeight="1" x14ac:dyDescent="0.45"/>
    <row r="290" ht="12.75" customHeight="1" x14ac:dyDescent="0.45"/>
    <row r="291" ht="12.75" customHeight="1" x14ac:dyDescent="0.45"/>
    <row r="292" ht="12.75" customHeight="1" x14ac:dyDescent="0.45"/>
    <row r="293" ht="12.75" customHeight="1" x14ac:dyDescent="0.45"/>
    <row r="294" ht="12.75" customHeight="1" x14ac:dyDescent="0.45"/>
    <row r="295" ht="12.75" customHeight="1" x14ac:dyDescent="0.45"/>
    <row r="296" ht="12.75" customHeight="1" x14ac:dyDescent="0.45"/>
    <row r="297" ht="12.75" customHeight="1" x14ac:dyDescent="0.45"/>
    <row r="298" ht="12.75" customHeight="1" x14ac:dyDescent="0.45"/>
    <row r="299" ht="12.75" customHeight="1" x14ac:dyDescent="0.45"/>
    <row r="300" ht="12.75" customHeight="1" x14ac:dyDescent="0.45"/>
    <row r="301" ht="12.75" customHeight="1" x14ac:dyDescent="0.45"/>
    <row r="302" ht="12.75" customHeight="1" x14ac:dyDescent="0.45"/>
    <row r="303" ht="12.75" customHeight="1" x14ac:dyDescent="0.45"/>
    <row r="304" ht="12.75" customHeight="1" x14ac:dyDescent="0.45"/>
    <row r="305" ht="12.75" customHeight="1" x14ac:dyDescent="0.45"/>
    <row r="306" ht="12.75" customHeight="1" x14ac:dyDescent="0.45"/>
    <row r="307" ht="12.75" customHeight="1" x14ac:dyDescent="0.45"/>
    <row r="308" ht="12.75" customHeight="1" x14ac:dyDescent="0.45"/>
    <row r="309" ht="12.75" customHeight="1" x14ac:dyDescent="0.45"/>
    <row r="310" ht="12.75" customHeight="1" x14ac:dyDescent="0.45"/>
    <row r="311" ht="12.75" customHeight="1" x14ac:dyDescent="0.45"/>
    <row r="312" ht="12.75" customHeight="1" x14ac:dyDescent="0.45"/>
    <row r="313" ht="12.75" customHeight="1" x14ac:dyDescent="0.45"/>
    <row r="314" ht="12.75" customHeight="1" x14ac:dyDescent="0.45"/>
    <row r="315" ht="12.75" customHeight="1" x14ac:dyDescent="0.45"/>
    <row r="316" ht="12.75" customHeight="1" x14ac:dyDescent="0.45"/>
    <row r="317" ht="12.75" customHeight="1" x14ac:dyDescent="0.45"/>
    <row r="318" ht="12.75" customHeight="1" x14ac:dyDescent="0.45"/>
    <row r="319" ht="12.75" customHeight="1" x14ac:dyDescent="0.45"/>
    <row r="320" ht="12.75" customHeight="1" x14ac:dyDescent="0.45"/>
    <row r="321" ht="12.75" customHeight="1" x14ac:dyDescent="0.45"/>
    <row r="322" ht="12.75" customHeight="1" x14ac:dyDescent="0.45"/>
    <row r="323" ht="12.75" customHeight="1" x14ac:dyDescent="0.45"/>
    <row r="324" ht="12.75" customHeight="1" x14ac:dyDescent="0.45"/>
    <row r="325" ht="12.75" customHeight="1" x14ac:dyDescent="0.45"/>
    <row r="326" ht="12.75" customHeight="1" x14ac:dyDescent="0.45"/>
    <row r="327" ht="12.75" customHeight="1" x14ac:dyDescent="0.45"/>
    <row r="328" ht="12.75" customHeight="1" x14ac:dyDescent="0.45"/>
    <row r="329" ht="12.75" customHeight="1" x14ac:dyDescent="0.45"/>
    <row r="330" ht="12.75" customHeight="1" x14ac:dyDescent="0.45"/>
    <row r="331" ht="12.75" customHeight="1" x14ac:dyDescent="0.45"/>
    <row r="332" ht="12.75" customHeight="1" x14ac:dyDescent="0.45"/>
    <row r="333" ht="12.75" customHeight="1" x14ac:dyDescent="0.45"/>
    <row r="334" ht="12.75" customHeight="1" x14ac:dyDescent="0.45"/>
    <row r="335" ht="12.75" customHeight="1" x14ac:dyDescent="0.45"/>
    <row r="336" ht="12.75" customHeight="1" x14ac:dyDescent="0.45"/>
    <row r="337" ht="12.75" customHeight="1" x14ac:dyDescent="0.45"/>
    <row r="338" ht="12.75" customHeight="1" x14ac:dyDescent="0.45"/>
    <row r="339" ht="12.75" customHeight="1" x14ac:dyDescent="0.45"/>
    <row r="340" ht="12.75" customHeight="1" x14ac:dyDescent="0.45"/>
    <row r="341" ht="12.75" customHeight="1" x14ac:dyDescent="0.45"/>
    <row r="342" ht="12.75" customHeight="1" x14ac:dyDescent="0.45"/>
    <row r="343" ht="12.75" customHeight="1" x14ac:dyDescent="0.45"/>
    <row r="344" ht="12.75" customHeight="1" x14ac:dyDescent="0.45"/>
    <row r="345" ht="12.75" customHeight="1" x14ac:dyDescent="0.45"/>
    <row r="346" ht="12.75" customHeight="1" x14ac:dyDescent="0.45"/>
    <row r="347" ht="12.75" customHeight="1" x14ac:dyDescent="0.45"/>
    <row r="348" ht="12.75" customHeight="1" x14ac:dyDescent="0.45"/>
    <row r="349" ht="12.75" customHeight="1" x14ac:dyDescent="0.45"/>
    <row r="350" ht="12.75" customHeight="1" x14ac:dyDescent="0.45"/>
    <row r="351" ht="12.75" customHeight="1" x14ac:dyDescent="0.45"/>
    <row r="352" ht="12.75" customHeight="1" x14ac:dyDescent="0.45"/>
    <row r="353" ht="12.75" customHeight="1" x14ac:dyDescent="0.45"/>
    <row r="354" ht="12.75" customHeight="1" x14ac:dyDescent="0.45"/>
    <row r="355" ht="12.75" customHeight="1" x14ac:dyDescent="0.45"/>
    <row r="356" ht="12.75" customHeight="1" x14ac:dyDescent="0.45"/>
    <row r="357" ht="12.75" customHeight="1" x14ac:dyDescent="0.45"/>
    <row r="358" ht="12.75" customHeight="1" x14ac:dyDescent="0.45"/>
    <row r="359" ht="12.75" customHeight="1" x14ac:dyDescent="0.45"/>
    <row r="360" ht="12.75" customHeight="1" x14ac:dyDescent="0.45"/>
    <row r="361" ht="12.75" customHeight="1" x14ac:dyDescent="0.45"/>
    <row r="362" ht="12.75" customHeight="1" x14ac:dyDescent="0.45"/>
    <row r="363" ht="12.75" customHeight="1" x14ac:dyDescent="0.45"/>
    <row r="364" ht="12.75" customHeight="1" x14ac:dyDescent="0.45"/>
    <row r="365" ht="12.75" customHeight="1" x14ac:dyDescent="0.45"/>
    <row r="366" ht="12.75" customHeight="1" x14ac:dyDescent="0.45"/>
    <row r="367" ht="12.75" customHeight="1" x14ac:dyDescent="0.45"/>
    <row r="368" ht="12.75" customHeight="1" x14ac:dyDescent="0.45"/>
    <row r="369" ht="12.75" customHeight="1" x14ac:dyDescent="0.45"/>
    <row r="370" ht="12.75" customHeight="1" x14ac:dyDescent="0.45"/>
    <row r="371" ht="12.75" customHeight="1" x14ac:dyDescent="0.45"/>
    <row r="372" ht="12.75" customHeight="1" x14ac:dyDescent="0.45"/>
    <row r="373" ht="12.75" customHeight="1" x14ac:dyDescent="0.45"/>
    <row r="374" ht="12.75" customHeight="1" x14ac:dyDescent="0.45"/>
    <row r="375" ht="12.75" customHeight="1" x14ac:dyDescent="0.45"/>
    <row r="376" ht="12.75" customHeight="1" x14ac:dyDescent="0.45"/>
    <row r="377" ht="12.75" customHeight="1" x14ac:dyDescent="0.45"/>
    <row r="378" ht="12.75" customHeight="1" x14ac:dyDescent="0.45"/>
    <row r="379" ht="12.75" customHeight="1" x14ac:dyDescent="0.45"/>
    <row r="380" ht="12.75" customHeight="1" x14ac:dyDescent="0.45"/>
    <row r="381" ht="12.75" customHeight="1" x14ac:dyDescent="0.45"/>
    <row r="382" ht="12.75" customHeight="1" x14ac:dyDescent="0.45"/>
    <row r="383" ht="12.75" customHeight="1" x14ac:dyDescent="0.45"/>
    <row r="384" ht="12.75" customHeight="1" x14ac:dyDescent="0.45"/>
    <row r="385" ht="12.75" customHeight="1" x14ac:dyDescent="0.45"/>
    <row r="386" ht="12.75" customHeight="1" x14ac:dyDescent="0.45"/>
    <row r="387" ht="12.75" customHeight="1" x14ac:dyDescent="0.45"/>
    <row r="388" ht="12.75" customHeight="1" x14ac:dyDescent="0.45"/>
    <row r="389" ht="12.75" customHeight="1" x14ac:dyDescent="0.45"/>
    <row r="390" ht="12.75" customHeight="1" x14ac:dyDescent="0.45"/>
    <row r="391" ht="12.75" customHeight="1" x14ac:dyDescent="0.45"/>
    <row r="392" ht="12.75" customHeight="1" x14ac:dyDescent="0.45"/>
    <row r="393" ht="12.75" customHeight="1" x14ac:dyDescent="0.45"/>
    <row r="394" ht="12.75" customHeight="1" x14ac:dyDescent="0.45"/>
    <row r="395" ht="12.75" customHeight="1" x14ac:dyDescent="0.45"/>
    <row r="396" ht="12.75" customHeight="1" x14ac:dyDescent="0.45"/>
    <row r="397" ht="12.75" customHeight="1" x14ac:dyDescent="0.45"/>
    <row r="398" ht="12.75" customHeight="1" x14ac:dyDescent="0.45"/>
    <row r="399" ht="12.75" customHeight="1" x14ac:dyDescent="0.45"/>
    <row r="400" ht="12.75" customHeight="1" x14ac:dyDescent="0.45"/>
    <row r="401" ht="12.75" customHeight="1" x14ac:dyDescent="0.45"/>
    <row r="402" ht="12.75" customHeight="1" x14ac:dyDescent="0.45"/>
    <row r="403" ht="12.75" customHeight="1" x14ac:dyDescent="0.45"/>
    <row r="404" ht="12.75" customHeight="1" x14ac:dyDescent="0.45"/>
    <row r="405" ht="12.75" customHeight="1" x14ac:dyDescent="0.45"/>
    <row r="406" ht="12.75" customHeight="1" x14ac:dyDescent="0.45"/>
    <row r="407" ht="12.75" customHeight="1" x14ac:dyDescent="0.45"/>
    <row r="408" ht="12.75" customHeight="1" x14ac:dyDescent="0.45"/>
    <row r="409" ht="12.75" customHeight="1" x14ac:dyDescent="0.45"/>
    <row r="410" ht="12.75" customHeight="1" x14ac:dyDescent="0.45"/>
    <row r="411" ht="12.75" customHeight="1" x14ac:dyDescent="0.45"/>
    <row r="412" ht="12.75" customHeight="1" x14ac:dyDescent="0.45"/>
    <row r="413" ht="12.75" customHeight="1" x14ac:dyDescent="0.45"/>
    <row r="414" ht="12.75" customHeight="1" x14ac:dyDescent="0.45"/>
    <row r="415" ht="12.75" customHeight="1" x14ac:dyDescent="0.45"/>
    <row r="416" ht="12.75" customHeight="1" x14ac:dyDescent="0.45"/>
    <row r="417" ht="12.75" customHeight="1" x14ac:dyDescent="0.45"/>
    <row r="418" ht="12.75" customHeight="1" x14ac:dyDescent="0.45"/>
    <row r="419" ht="12.75" customHeight="1" x14ac:dyDescent="0.45"/>
    <row r="420" ht="12.75" customHeight="1" x14ac:dyDescent="0.45"/>
    <row r="421" ht="12.75" customHeight="1" x14ac:dyDescent="0.45"/>
    <row r="422" ht="12.75" customHeight="1" x14ac:dyDescent="0.45"/>
    <row r="423" ht="12.75" customHeight="1" x14ac:dyDescent="0.45"/>
    <row r="424" ht="12.75" customHeight="1" x14ac:dyDescent="0.45"/>
    <row r="425" ht="12.75" customHeight="1" x14ac:dyDescent="0.45"/>
    <row r="426" ht="12.75" customHeight="1" x14ac:dyDescent="0.45"/>
    <row r="427" ht="12.75" customHeight="1" x14ac:dyDescent="0.45"/>
    <row r="428" ht="12.75" customHeight="1" x14ac:dyDescent="0.45"/>
    <row r="429" ht="12.75" customHeight="1" x14ac:dyDescent="0.45"/>
    <row r="430" ht="12.75" customHeight="1" x14ac:dyDescent="0.45"/>
    <row r="431" ht="12.75" customHeight="1" x14ac:dyDescent="0.45"/>
    <row r="432" ht="12.75" customHeight="1" x14ac:dyDescent="0.45"/>
    <row r="433" ht="12.75" customHeight="1" x14ac:dyDescent="0.45"/>
    <row r="434" ht="12.75" customHeight="1" x14ac:dyDescent="0.45"/>
    <row r="435" ht="12.75" customHeight="1" x14ac:dyDescent="0.45"/>
    <row r="436" ht="12.75" customHeight="1" x14ac:dyDescent="0.45"/>
    <row r="437" ht="12.75" customHeight="1" x14ac:dyDescent="0.45"/>
    <row r="438" ht="12.75" customHeight="1" x14ac:dyDescent="0.45"/>
    <row r="439" ht="12.75" customHeight="1" x14ac:dyDescent="0.45"/>
    <row r="440" ht="12.75" customHeight="1" x14ac:dyDescent="0.45"/>
    <row r="441" ht="12.75" customHeight="1" x14ac:dyDescent="0.45"/>
    <row r="442" ht="12.75" customHeight="1" x14ac:dyDescent="0.45"/>
    <row r="443" ht="12.75" customHeight="1" x14ac:dyDescent="0.45"/>
    <row r="444" ht="12.75" customHeight="1" x14ac:dyDescent="0.45"/>
    <row r="445" ht="12.75" customHeight="1" x14ac:dyDescent="0.45"/>
    <row r="446" ht="12.75" customHeight="1" x14ac:dyDescent="0.45"/>
    <row r="447" ht="12.75" customHeight="1" x14ac:dyDescent="0.45"/>
    <row r="448" ht="12.75" customHeight="1" x14ac:dyDescent="0.45"/>
    <row r="449" ht="12.75" customHeight="1" x14ac:dyDescent="0.45"/>
    <row r="450" ht="12.75" customHeight="1" x14ac:dyDescent="0.45"/>
    <row r="451" ht="12.75" customHeight="1" x14ac:dyDescent="0.45"/>
    <row r="452" ht="12.75" customHeight="1" x14ac:dyDescent="0.45"/>
    <row r="453" ht="12.75" customHeight="1" x14ac:dyDescent="0.45"/>
    <row r="454" ht="12.75" customHeight="1" x14ac:dyDescent="0.45"/>
    <row r="455" ht="12.75" customHeight="1" x14ac:dyDescent="0.45"/>
    <row r="456" ht="12.75" customHeight="1" x14ac:dyDescent="0.45"/>
    <row r="457" ht="12.75" customHeight="1" x14ac:dyDescent="0.45"/>
    <row r="458" ht="12.75" customHeight="1" x14ac:dyDescent="0.45"/>
    <row r="459" ht="12.75" customHeight="1" x14ac:dyDescent="0.45"/>
    <row r="460" ht="12.75" customHeight="1" x14ac:dyDescent="0.45"/>
    <row r="461" ht="12.75" customHeight="1" x14ac:dyDescent="0.45"/>
    <row r="462" ht="12.75" customHeight="1" x14ac:dyDescent="0.45"/>
    <row r="463" ht="12.75" customHeight="1" x14ac:dyDescent="0.45"/>
    <row r="464" ht="12.75" customHeight="1" x14ac:dyDescent="0.45"/>
    <row r="465" ht="12.75" customHeight="1" x14ac:dyDescent="0.45"/>
    <row r="466" ht="12.75" customHeight="1" x14ac:dyDescent="0.45"/>
    <row r="467" ht="12.75" customHeight="1" x14ac:dyDescent="0.45"/>
    <row r="468" ht="12.75" customHeight="1" x14ac:dyDescent="0.45"/>
    <row r="469" ht="12.75" customHeight="1" x14ac:dyDescent="0.45"/>
    <row r="470" ht="12.75" customHeight="1" x14ac:dyDescent="0.45"/>
    <row r="471" ht="12.75" customHeight="1" x14ac:dyDescent="0.45"/>
    <row r="472" ht="12.75" customHeight="1" x14ac:dyDescent="0.45"/>
    <row r="473" ht="12.75" customHeight="1" x14ac:dyDescent="0.45"/>
    <row r="474" ht="12.75" customHeight="1" x14ac:dyDescent="0.45"/>
    <row r="475" ht="12.75" customHeight="1" x14ac:dyDescent="0.45"/>
    <row r="476" ht="12.75" customHeight="1" x14ac:dyDescent="0.45"/>
    <row r="477" ht="12.75" customHeight="1" x14ac:dyDescent="0.45"/>
    <row r="478" ht="12.75" customHeight="1" x14ac:dyDescent="0.45"/>
    <row r="479" ht="12.75" customHeight="1" x14ac:dyDescent="0.45"/>
    <row r="480" ht="12.75" customHeight="1" x14ac:dyDescent="0.45"/>
    <row r="481" ht="12.75" customHeight="1" x14ac:dyDescent="0.45"/>
    <row r="482" ht="12.75" customHeight="1" x14ac:dyDescent="0.45"/>
    <row r="483" ht="12.75" customHeight="1" x14ac:dyDescent="0.45"/>
    <row r="484" ht="12.75" customHeight="1" x14ac:dyDescent="0.45"/>
    <row r="485" ht="12.75" customHeight="1" x14ac:dyDescent="0.45"/>
    <row r="486" ht="12.75" customHeight="1" x14ac:dyDescent="0.45"/>
    <row r="487" ht="12.75" customHeight="1" x14ac:dyDescent="0.45"/>
    <row r="488" ht="12.75" customHeight="1" x14ac:dyDescent="0.45"/>
    <row r="489" ht="12.75" customHeight="1" x14ac:dyDescent="0.45"/>
    <row r="490" ht="12.75" customHeight="1" x14ac:dyDescent="0.45"/>
    <row r="491" ht="12.75" customHeight="1" x14ac:dyDescent="0.45"/>
    <row r="492" ht="12.75" customHeight="1" x14ac:dyDescent="0.45"/>
    <row r="493" ht="12.75" customHeight="1" x14ac:dyDescent="0.45"/>
    <row r="494" ht="12.75" customHeight="1" x14ac:dyDescent="0.45"/>
    <row r="495" ht="12.75" customHeight="1" x14ac:dyDescent="0.45"/>
    <row r="496" ht="12.75" customHeight="1" x14ac:dyDescent="0.45"/>
    <row r="497" ht="12.75" customHeight="1" x14ac:dyDescent="0.45"/>
    <row r="498" ht="12.75" customHeight="1" x14ac:dyDescent="0.45"/>
    <row r="499" ht="12.75" customHeight="1" x14ac:dyDescent="0.45"/>
    <row r="500" ht="12.75" customHeight="1" x14ac:dyDescent="0.45"/>
    <row r="501" ht="12.75" customHeight="1" x14ac:dyDescent="0.45"/>
    <row r="502" ht="12.75" customHeight="1" x14ac:dyDescent="0.45"/>
    <row r="503" ht="12.75" customHeight="1" x14ac:dyDescent="0.45"/>
    <row r="504" ht="12.75" customHeight="1" x14ac:dyDescent="0.45"/>
    <row r="505" ht="12.75" customHeight="1" x14ac:dyDescent="0.45"/>
    <row r="506" ht="12.75" customHeight="1" x14ac:dyDescent="0.45"/>
    <row r="507" ht="12.75" customHeight="1" x14ac:dyDescent="0.45"/>
    <row r="508" ht="12.75" customHeight="1" x14ac:dyDescent="0.45"/>
    <row r="509" ht="12.75" customHeight="1" x14ac:dyDescent="0.45"/>
    <row r="510" ht="12.75" customHeight="1" x14ac:dyDescent="0.45"/>
    <row r="511" ht="12.75" customHeight="1" x14ac:dyDescent="0.45"/>
    <row r="512" ht="12.75" customHeight="1" x14ac:dyDescent="0.45"/>
    <row r="513" ht="12.75" customHeight="1" x14ac:dyDescent="0.45"/>
    <row r="514" ht="12.75" customHeight="1" x14ac:dyDescent="0.45"/>
    <row r="515" ht="12.75" customHeight="1" x14ac:dyDescent="0.45"/>
    <row r="516" ht="12.75" customHeight="1" x14ac:dyDescent="0.45"/>
    <row r="517" ht="12.75" customHeight="1" x14ac:dyDescent="0.45"/>
    <row r="518" ht="12.75" customHeight="1" x14ac:dyDescent="0.45"/>
    <row r="519" ht="12.75" customHeight="1" x14ac:dyDescent="0.45"/>
    <row r="520" ht="12.75" customHeight="1" x14ac:dyDescent="0.45"/>
    <row r="521" ht="12.75" customHeight="1" x14ac:dyDescent="0.45"/>
    <row r="522" ht="12.75" customHeight="1" x14ac:dyDescent="0.45"/>
    <row r="523" ht="12.75" customHeight="1" x14ac:dyDescent="0.45"/>
    <row r="524" ht="12.75" customHeight="1" x14ac:dyDescent="0.45"/>
    <row r="525" ht="12.75" customHeight="1" x14ac:dyDescent="0.45"/>
    <row r="526" ht="12.75" customHeight="1" x14ac:dyDescent="0.45"/>
    <row r="527" ht="12.75" customHeight="1" x14ac:dyDescent="0.45"/>
    <row r="528" ht="12.75" customHeight="1" x14ac:dyDescent="0.45"/>
    <row r="529" ht="12.75" customHeight="1" x14ac:dyDescent="0.45"/>
    <row r="530" ht="12.75" customHeight="1" x14ac:dyDescent="0.45"/>
    <row r="531" ht="12.75" customHeight="1" x14ac:dyDescent="0.45"/>
    <row r="532" ht="12.75" customHeight="1" x14ac:dyDescent="0.45"/>
    <row r="533" ht="12.75" customHeight="1" x14ac:dyDescent="0.45"/>
    <row r="534" ht="12.75" customHeight="1" x14ac:dyDescent="0.45"/>
    <row r="535" ht="12.75" customHeight="1" x14ac:dyDescent="0.45"/>
    <row r="536" ht="12.75" customHeight="1" x14ac:dyDescent="0.45"/>
    <row r="537" ht="12.75" customHeight="1" x14ac:dyDescent="0.45"/>
    <row r="538" ht="12.75" customHeight="1" x14ac:dyDescent="0.45"/>
    <row r="539" ht="12.75" customHeight="1" x14ac:dyDescent="0.45"/>
    <row r="540" ht="12.75" customHeight="1" x14ac:dyDescent="0.45"/>
    <row r="541" ht="12.75" customHeight="1" x14ac:dyDescent="0.45"/>
    <row r="542" ht="12.75" customHeight="1" x14ac:dyDescent="0.45"/>
    <row r="543" ht="12.75" customHeight="1" x14ac:dyDescent="0.45"/>
    <row r="544" ht="12.75" customHeight="1" x14ac:dyDescent="0.45"/>
    <row r="545" ht="12.75" customHeight="1" x14ac:dyDescent="0.45"/>
    <row r="546" ht="12.75" customHeight="1" x14ac:dyDescent="0.45"/>
    <row r="547" ht="12.75" customHeight="1" x14ac:dyDescent="0.45"/>
    <row r="548" ht="12.75" customHeight="1" x14ac:dyDescent="0.45"/>
    <row r="549" ht="12.75" customHeight="1" x14ac:dyDescent="0.45"/>
    <row r="550" ht="12.75" customHeight="1" x14ac:dyDescent="0.45"/>
    <row r="551" ht="12.75" customHeight="1" x14ac:dyDescent="0.45"/>
    <row r="552" ht="12.75" customHeight="1" x14ac:dyDescent="0.45"/>
    <row r="553" ht="12.75" customHeight="1" x14ac:dyDescent="0.45"/>
    <row r="554" ht="12.75" customHeight="1" x14ac:dyDescent="0.45"/>
    <row r="555" ht="12.75" customHeight="1" x14ac:dyDescent="0.45"/>
    <row r="556" ht="12.75" customHeight="1" x14ac:dyDescent="0.45"/>
    <row r="557" ht="12.75" customHeight="1" x14ac:dyDescent="0.45"/>
    <row r="558" ht="12.75" customHeight="1" x14ac:dyDescent="0.45"/>
    <row r="559" ht="12.75" customHeight="1" x14ac:dyDescent="0.45"/>
    <row r="560" ht="12.75" customHeight="1" x14ac:dyDescent="0.45"/>
    <row r="561" ht="12.75" customHeight="1" x14ac:dyDescent="0.45"/>
    <row r="562" ht="12.75" customHeight="1" x14ac:dyDescent="0.45"/>
    <row r="563" ht="12.75" customHeight="1" x14ac:dyDescent="0.45"/>
    <row r="564" ht="12.75" customHeight="1" x14ac:dyDescent="0.45"/>
    <row r="565" ht="12.75" customHeight="1" x14ac:dyDescent="0.45"/>
    <row r="566" ht="12.75" customHeight="1" x14ac:dyDescent="0.45"/>
    <row r="567" ht="12.75" customHeight="1" x14ac:dyDescent="0.45"/>
    <row r="568" ht="12.75" customHeight="1" x14ac:dyDescent="0.45"/>
    <row r="569" ht="12.75" customHeight="1" x14ac:dyDescent="0.45"/>
    <row r="570" ht="12.75" customHeight="1" x14ac:dyDescent="0.45"/>
    <row r="571" ht="12.75" customHeight="1" x14ac:dyDescent="0.45"/>
    <row r="572" ht="12.75" customHeight="1" x14ac:dyDescent="0.45"/>
    <row r="573" ht="12.75" customHeight="1" x14ac:dyDescent="0.45"/>
    <row r="574" ht="12.75" customHeight="1" x14ac:dyDescent="0.45"/>
    <row r="575" ht="12.75" customHeight="1" x14ac:dyDescent="0.45"/>
    <row r="576" ht="12.75" customHeight="1" x14ac:dyDescent="0.45"/>
    <row r="577" ht="12.75" customHeight="1" x14ac:dyDescent="0.45"/>
    <row r="578" ht="12.75" customHeight="1" x14ac:dyDescent="0.45"/>
    <row r="579" ht="12.75" customHeight="1" x14ac:dyDescent="0.45"/>
    <row r="580" ht="12.75" customHeight="1" x14ac:dyDescent="0.45"/>
    <row r="581" ht="12.75" customHeight="1" x14ac:dyDescent="0.45"/>
    <row r="582" ht="12.75" customHeight="1" x14ac:dyDescent="0.45"/>
    <row r="583" ht="12.75" customHeight="1" x14ac:dyDescent="0.45"/>
    <row r="584" ht="12.75" customHeight="1" x14ac:dyDescent="0.45"/>
    <row r="585" ht="12.75" customHeight="1" x14ac:dyDescent="0.45"/>
    <row r="586" ht="12.75" customHeight="1" x14ac:dyDescent="0.45"/>
    <row r="587" ht="12.75" customHeight="1" x14ac:dyDescent="0.45"/>
    <row r="588" ht="12.75" customHeight="1" x14ac:dyDescent="0.45"/>
    <row r="589" ht="12.75" customHeight="1" x14ac:dyDescent="0.45"/>
    <row r="590" ht="12.75" customHeight="1" x14ac:dyDescent="0.45"/>
    <row r="591" ht="12.75" customHeight="1" x14ac:dyDescent="0.45"/>
    <row r="592" ht="12.75" customHeight="1" x14ac:dyDescent="0.45"/>
    <row r="593" ht="12.75" customHeight="1" x14ac:dyDescent="0.45"/>
    <row r="594" ht="12.75" customHeight="1" x14ac:dyDescent="0.45"/>
    <row r="595" ht="12.75" customHeight="1" x14ac:dyDescent="0.45"/>
    <row r="596" ht="12.75" customHeight="1" x14ac:dyDescent="0.45"/>
    <row r="597" ht="12.75" customHeight="1" x14ac:dyDescent="0.45"/>
    <row r="598" ht="12.75" customHeight="1" x14ac:dyDescent="0.45"/>
    <row r="599" ht="12.75" customHeight="1" x14ac:dyDescent="0.45"/>
    <row r="600" ht="12.75" customHeight="1" x14ac:dyDescent="0.45"/>
    <row r="601" ht="12.75" customHeight="1" x14ac:dyDescent="0.45"/>
    <row r="602" ht="12.75" customHeight="1" x14ac:dyDescent="0.45"/>
    <row r="603" ht="12.75" customHeight="1" x14ac:dyDescent="0.45"/>
    <row r="604" ht="12.75" customHeight="1" x14ac:dyDescent="0.45"/>
    <row r="605" ht="12.75" customHeight="1" x14ac:dyDescent="0.45"/>
    <row r="606" ht="12.75" customHeight="1" x14ac:dyDescent="0.45"/>
    <row r="607" ht="12.75" customHeight="1" x14ac:dyDescent="0.45"/>
    <row r="608" ht="12.75" customHeight="1" x14ac:dyDescent="0.45"/>
    <row r="609" ht="12.75" customHeight="1" x14ac:dyDescent="0.45"/>
    <row r="610" ht="12.75" customHeight="1" x14ac:dyDescent="0.45"/>
    <row r="611" ht="12.75" customHeight="1" x14ac:dyDescent="0.45"/>
    <row r="612" ht="12.75" customHeight="1" x14ac:dyDescent="0.45"/>
    <row r="613" ht="12.75" customHeight="1" x14ac:dyDescent="0.45"/>
    <row r="614" ht="12.75" customHeight="1" x14ac:dyDescent="0.45"/>
    <row r="615" ht="12.75" customHeight="1" x14ac:dyDescent="0.45"/>
    <row r="616" ht="12.75" customHeight="1" x14ac:dyDescent="0.45"/>
    <row r="617" ht="12.75" customHeight="1" x14ac:dyDescent="0.45"/>
    <row r="618" ht="12.75" customHeight="1" x14ac:dyDescent="0.45"/>
    <row r="619" ht="12.75" customHeight="1" x14ac:dyDescent="0.45"/>
    <row r="620" ht="12.75" customHeight="1" x14ac:dyDescent="0.45"/>
    <row r="621" ht="12.75" customHeight="1" x14ac:dyDescent="0.45"/>
    <row r="622" ht="12.75" customHeight="1" x14ac:dyDescent="0.45"/>
    <row r="623" ht="12.75" customHeight="1" x14ac:dyDescent="0.45"/>
    <row r="624" ht="12.75" customHeight="1" x14ac:dyDescent="0.45"/>
    <row r="625" ht="12.75" customHeight="1" x14ac:dyDescent="0.45"/>
    <row r="626" ht="12.75" customHeight="1" x14ac:dyDescent="0.45"/>
    <row r="627" ht="12.75" customHeight="1" x14ac:dyDescent="0.45"/>
    <row r="628" ht="12.75" customHeight="1" x14ac:dyDescent="0.45"/>
    <row r="629" ht="12.75" customHeight="1" x14ac:dyDescent="0.45"/>
    <row r="630" ht="12.75" customHeight="1" x14ac:dyDescent="0.45"/>
    <row r="631" ht="12.75" customHeight="1" x14ac:dyDescent="0.45"/>
    <row r="632" ht="12.75" customHeight="1" x14ac:dyDescent="0.45"/>
    <row r="633" ht="12.75" customHeight="1" x14ac:dyDescent="0.45"/>
    <row r="634" ht="12.75" customHeight="1" x14ac:dyDescent="0.45"/>
    <row r="635" ht="12.75" customHeight="1" x14ac:dyDescent="0.45"/>
    <row r="636" ht="12.75" customHeight="1" x14ac:dyDescent="0.45"/>
    <row r="637" ht="12.75" customHeight="1" x14ac:dyDescent="0.45"/>
    <row r="638" ht="12.75" customHeight="1" x14ac:dyDescent="0.45"/>
    <row r="639" ht="12.75" customHeight="1" x14ac:dyDescent="0.45"/>
    <row r="640" ht="12.75" customHeight="1" x14ac:dyDescent="0.45"/>
    <row r="641" ht="12.75" customHeight="1" x14ac:dyDescent="0.45"/>
    <row r="642" ht="12.75" customHeight="1" x14ac:dyDescent="0.45"/>
    <row r="643" ht="12.75" customHeight="1" x14ac:dyDescent="0.45"/>
    <row r="644" ht="12.75" customHeight="1" x14ac:dyDescent="0.45"/>
    <row r="645" ht="12.75" customHeight="1" x14ac:dyDescent="0.45"/>
    <row r="646" ht="12.75" customHeight="1" x14ac:dyDescent="0.45"/>
    <row r="647" ht="12.75" customHeight="1" x14ac:dyDescent="0.45"/>
    <row r="648" ht="12.75" customHeight="1" x14ac:dyDescent="0.45"/>
    <row r="649" ht="12.75" customHeight="1" x14ac:dyDescent="0.45"/>
    <row r="650" ht="12.75" customHeight="1" x14ac:dyDescent="0.45"/>
    <row r="651" ht="12.75" customHeight="1" x14ac:dyDescent="0.45"/>
    <row r="652" ht="12.75" customHeight="1" x14ac:dyDescent="0.45"/>
    <row r="653" ht="12.75" customHeight="1" x14ac:dyDescent="0.45"/>
    <row r="654" ht="12.75" customHeight="1" x14ac:dyDescent="0.45"/>
    <row r="655" ht="12.75" customHeight="1" x14ac:dyDescent="0.45"/>
    <row r="656" ht="12.75" customHeight="1" x14ac:dyDescent="0.45"/>
    <row r="657" ht="12.75" customHeight="1" x14ac:dyDescent="0.45"/>
    <row r="658" ht="12.75" customHeight="1" x14ac:dyDescent="0.45"/>
    <row r="659" ht="12.75" customHeight="1" x14ac:dyDescent="0.45"/>
    <row r="660" ht="12.75" customHeight="1" x14ac:dyDescent="0.45"/>
    <row r="661" ht="12.75" customHeight="1" x14ac:dyDescent="0.45"/>
    <row r="662" ht="12.75" customHeight="1" x14ac:dyDescent="0.45"/>
    <row r="663" ht="12.75" customHeight="1" x14ac:dyDescent="0.45"/>
    <row r="664" ht="12.75" customHeight="1" x14ac:dyDescent="0.45"/>
    <row r="665" ht="12.75" customHeight="1" x14ac:dyDescent="0.45"/>
    <row r="666" ht="12.75" customHeight="1" x14ac:dyDescent="0.45"/>
    <row r="667" ht="12.75" customHeight="1" x14ac:dyDescent="0.45"/>
    <row r="668" ht="12.75" customHeight="1" x14ac:dyDescent="0.45"/>
    <row r="669" ht="12.75" customHeight="1" x14ac:dyDescent="0.45"/>
    <row r="670" ht="12.75" customHeight="1" x14ac:dyDescent="0.45"/>
    <row r="671" ht="12.75" customHeight="1" x14ac:dyDescent="0.45"/>
    <row r="672" ht="12.75" customHeight="1" x14ac:dyDescent="0.45"/>
    <row r="673" ht="12.75" customHeight="1" x14ac:dyDescent="0.45"/>
    <row r="674" ht="12.75" customHeight="1" x14ac:dyDescent="0.45"/>
    <row r="675" ht="12.75" customHeight="1" x14ac:dyDescent="0.45"/>
    <row r="676" ht="12.75" customHeight="1" x14ac:dyDescent="0.45"/>
    <row r="677" ht="12.75" customHeight="1" x14ac:dyDescent="0.45"/>
    <row r="678" ht="12.75" customHeight="1" x14ac:dyDescent="0.45"/>
    <row r="679" ht="12.75" customHeight="1" x14ac:dyDescent="0.45"/>
    <row r="680" ht="12.75" customHeight="1" x14ac:dyDescent="0.45"/>
    <row r="681" ht="12.75" customHeight="1" x14ac:dyDescent="0.45"/>
    <row r="682" ht="12.75" customHeight="1" x14ac:dyDescent="0.45"/>
    <row r="683" ht="12.75" customHeight="1" x14ac:dyDescent="0.45"/>
    <row r="684" ht="12.75" customHeight="1" x14ac:dyDescent="0.45"/>
    <row r="685" ht="12.75" customHeight="1" x14ac:dyDescent="0.45"/>
    <row r="686" ht="12.75" customHeight="1" x14ac:dyDescent="0.45"/>
    <row r="687" ht="12.75" customHeight="1" x14ac:dyDescent="0.45"/>
    <row r="688" ht="12.75" customHeight="1" x14ac:dyDescent="0.45"/>
    <row r="689" ht="12.75" customHeight="1" x14ac:dyDescent="0.45"/>
    <row r="690" ht="12.75" customHeight="1" x14ac:dyDescent="0.45"/>
    <row r="691" ht="12.75" customHeight="1" x14ac:dyDescent="0.45"/>
    <row r="692" ht="12.75" customHeight="1" x14ac:dyDescent="0.45"/>
    <row r="693" ht="12.75" customHeight="1" x14ac:dyDescent="0.45"/>
    <row r="694" ht="12.75" customHeight="1" x14ac:dyDescent="0.45"/>
    <row r="695" ht="12.75" customHeight="1" x14ac:dyDescent="0.45"/>
    <row r="696" ht="12.75" customHeight="1" x14ac:dyDescent="0.45"/>
    <row r="697" ht="12.75" customHeight="1" x14ac:dyDescent="0.45"/>
    <row r="698" ht="12.75" customHeight="1" x14ac:dyDescent="0.45"/>
    <row r="699" ht="12.75" customHeight="1" x14ac:dyDescent="0.45"/>
    <row r="700" ht="12.75" customHeight="1" x14ac:dyDescent="0.45"/>
    <row r="701" ht="12.75" customHeight="1" x14ac:dyDescent="0.45"/>
    <row r="702" ht="12.75" customHeight="1" x14ac:dyDescent="0.45"/>
    <row r="703" ht="12.75" customHeight="1" x14ac:dyDescent="0.45"/>
    <row r="704" ht="12.75" customHeight="1" x14ac:dyDescent="0.45"/>
    <row r="705" ht="12.75" customHeight="1" x14ac:dyDescent="0.45"/>
    <row r="706" ht="12.75" customHeight="1" x14ac:dyDescent="0.45"/>
    <row r="707" ht="12.75" customHeight="1" x14ac:dyDescent="0.45"/>
    <row r="708" ht="12.75" customHeight="1" x14ac:dyDescent="0.45"/>
    <row r="709" ht="12.75" customHeight="1" x14ac:dyDescent="0.45"/>
    <row r="710" ht="12.75" customHeight="1" x14ac:dyDescent="0.45"/>
    <row r="711" ht="12.75" customHeight="1" x14ac:dyDescent="0.45"/>
    <row r="712" ht="12.75" customHeight="1" x14ac:dyDescent="0.45"/>
    <row r="713" ht="12.75" customHeight="1" x14ac:dyDescent="0.45"/>
    <row r="714" ht="12.75" customHeight="1" x14ac:dyDescent="0.45"/>
    <row r="715" ht="12.75" customHeight="1" x14ac:dyDescent="0.45"/>
    <row r="716" ht="12.75" customHeight="1" x14ac:dyDescent="0.45"/>
    <row r="717" ht="12.75" customHeight="1" x14ac:dyDescent="0.45"/>
    <row r="718" ht="12.75" customHeight="1" x14ac:dyDescent="0.45"/>
    <row r="719" ht="12.75" customHeight="1" x14ac:dyDescent="0.45"/>
    <row r="720" ht="12.75" customHeight="1" x14ac:dyDescent="0.45"/>
    <row r="721" ht="12.75" customHeight="1" x14ac:dyDescent="0.45"/>
    <row r="722" ht="12.75" customHeight="1" x14ac:dyDescent="0.45"/>
    <row r="723" ht="12.75" customHeight="1" x14ac:dyDescent="0.45"/>
    <row r="724" ht="12.75" customHeight="1" x14ac:dyDescent="0.45"/>
    <row r="725" ht="12.75" customHeight="1" x14ac:dyDescent="0.45"/>
    <row r="726" ht="12.75" customHeight="1" x14ac:dyDescent="0.45"/>
    <row r="727" ht="12.75" customHeight="1" x14ac:dyDescent="0.45"/>
    <row r="728" ht="12.75" customHeight="1" x14ac:dyDescent="0.45"/>
    <row r="729" ht="12.75" customHeight="1" x14ac:dyDescent="0.45"/>
    <row r="730" ht="12.75" customHeight="1" x14ac:dyDescent="0.45"/>
    <row r="731" ht="12.75" customHeight="1" x14ac:dyDescent="0.45"/>
    <row r="732" ht="12.75" customHeight="1" x14ac:dyDescent="0.45"/>
    <row r="733" ht="12.75" customHeight="1" x14ac:dyDescent="0.45"/>
    <row r="734" ht="12.75" customHeight="1" x14ac:dyDescent="0.45"/>
    <row r="735" ht="12.75" customHeight="1" x14ac:dyDescent="0.45"/>
    <row r="736" ht="12.75" customHeight="1" x14ac:dyDescent="0.45"/>
    <row r="737" ht="12.75" customHeight="1" x14ac:dyDescent="0.45"/>
    <row r="738" ht="12.75" customHeight="1" x14ac:dyDescent="0.45"/>
    <row r="739" ht="12.75" customHeight="1" x14ac:dyDescent="0.45"/>
    <row r="740" ht="12.75" customHeight="1" x14ac:dyDescent="0.45"/>
    <row r="741" ht="12.75" customHeight="1" x14ac:dyDescent="0.45"/>
    <row r="742" ht="12.75" customHeight="1" x14ac:dyDescent="0.45"/>
    <row r="743" ht="12.75" customHeight="1" x14ac:dyDescent="0.45"/>
    <row r="744" ht="12.75" customHeight="1" x14ac:dyDescent="0.45"/>
    <row r="745" ht="12.75" customHeight="1" x14ac:dyDescent="0.45"/>
    <row r="746" ht="12.75" customHeight="1" x14ac:dyDescent="0.45"/>
    <row r="747" ht="12.75" customHeight="1" x14ac:dyDescent="0.45"/>
    <row r="748" ht="12.75" customHeight="1" x14ac:dyDescent="0.45"/>
    <row r="749" ht="12.75" customHeight="1" x14ac:dyDescent="0.45"/>
    <row r="750" ht="12.75" customHeight="1" x14ac:dyDescent="0.45"/>
    <row r="751" ht="12.75" customHeight="1" x14ac:dyDescent="0.45"/>
    <row r="752" ht="12.75" customHeight="1" x14ac:dyDescent="0.45"/>
    <row r="753" ht="12.75" customHeight="1" x14ac:dyDescent="0.45"/>
    <row r="754" ht="12.75" customHeight="1" x14ac:dyDescent="0.45"/>
    <row r="755" ht="12.75" customHeight="1" x14ac:dyDescent="0.45"/>
    <row r="756" ht="12.75" customHeight="1" x14ac:dyDescent="0.45"/>
    <row r="757" ht="12.75" customHeight="1" x14ac:dyDescent="0.45"/>
    <row r="758" ht="12.75" customHeight="1" x14ac:dyDescent="0.45"/>
    <row r="759" ht="12.75" customHeight="1" x14ac:dyDescent="0.45"/>
    <row r="760" ht="12.75" customHeight="1" x14ac:dyDescent="0.45"/>
    <row r="761" ht="12.75" customHeight="1" x14ac:dyDescent="0.45"/>
    <row r="762" ht="12.75" customHeight="1" x14ac:dyDescent="0.45"/>
    <row r="763" ht="12.75" customHeight="1" x14ac:dyDescent="0.45"/>
    <row r="764" ht="12.75" customHeight="1" x14ac:dyDescent="0.45"/>
    <row r="765" ht="12.75" customHeight="1" x14ac:dyDescent="0.45"/>
    <row r="766" ht="12.75" customHeight="1" x14ac:dyDescent="0.45"/>
    <row r="767" ht="12.75" customHeight="1" x14ac:dyDescent="0.45"/>
    <row r="768" ht="12.75" customHeight="1" x14ac:dyDescent="0.45"/>
    <row r="769" ht="12.75" customHeight="1" x14ac:dyDescent="0.45"/>
    <row r="770" ht="12.75" customHeight="1" x14ac:dyDescent="0.45"/>
    <row r="771" ht="12.75" customHeight="1" x14ac:dyDescent="0.45"/>
    <row r="772" ht="12.75" customHeight="1" x14ac:dyDescent="0.45"/>
    <row r="773" ht="12.75" customHeight="1" x14ac:dyDescent="0.45"/>
    <row r="774" ht="12.75" customHeight="1" x14ac:dyDescent="0.45"/>
    <row r="775" ht="12.75" customHeight="1" x14ac:dyDescent="0.45"/>
    <row r="776" ht="12.75" customHeight="1" x14ac:dyDescent="0.45"/>
    <row r="777" ht="12.75" customHeight="1" x14ac:dyDescent="0.45"/>
    <row r="778" ht="12.75" customHeight="1" x14ac:dyDescent="0.45"/>
    <row r="779" ht="12.75" customHeight="1" x14ac:dyDescent="0.45"/>
    <row r="780" ht="12.75" customHeight="1" x14ac:dyDescent="0.45"/>
    <row r="781" ht="12.75" customHeight="1" x14ac:dyDescent="0.45"/>
    <row r="782" ht="12.75" customHeight="1" x14ac:dyDescent="0.45"/>
    <row r="783" ht="12.75" customHeight="1" x14ac:dyDescent="0.45"/>
    <row r="784" ht="12.75" customHeight="1" x14ac:dyDescent="0.45"/>
    <row r="785" ht="12.75" customHeight="1" x14ac:dyDescent="0.45"/>
    <row r="786" ht="12.75" customHeight="1" x14ac:dyDescent="0.45"/>
    <row r="787" ht="12.75" customHeight="1" x14ac:dyDescent="0.45"/>
    <row r="788" ht="12.75" customHeight="1" x14ac:dyDescent="0.45"/>
    <row r="789" ht="12.75" customHeight="1" x14ac:dyDescent="0.45"/>
    <row r="790" ht="12.75" customHeight="1" x14ac:dyDescent="0.45"/>
    <row r="791" ht="12.75" customHeight="1" x14ac:dyDescent="0.45"/>
    <row r="792" ht="12.75" customHeight="1" x14ac:dyDescent="0.45"/>
    <row r="793" ht="12.75" customHeight="1" x14ac:dyDescent="0.45"/>
    <row r="794" ht="12.75" customHeight="1" x14ac:dyDescent="0.45"/>
    <row r="795" ht="12.75" customHeight="1" x14ac:dyDescent="0.45"/>
    <row r="796" ht="12.75" customHeight="1" x14ac:dyDescent="0.45"/>
    <row r="797" ht="12.75" customHeight="1" x14ac:dyDescent="0.45"/>
    <row r="798" ht="12.75" customHeight="1" x14ac:dyDescent="0.45"/>
    <row r="799" ht="12.75" customHeight="1" x14ac:dyDescent="0.45"/>
    <row r="800" ht="12.75" customHeight="1" x14ac:dyDescent="0.45"/>
    <row r="801" ht="12.75" customHeight="1" x14ac:dyDescent="0.45"/>
    <row r="802" ht="12.75" customHeight="1" x14ac:dyDescent="0.45"/>
    <row r="803" ht="12.75" customHeight="1" x14ac:dyDescent="0.45"/>
    <row r="804" ht="12.75" customHeight="1" x14ac:dyDescent="0.45"/>
    <row r="805" ht="12.75" customHeight="1" x14ac:dyDescent="0.45"/>
    <row r="806" ht="12.75" customHeight="1" x14ac:dyDescent="0.45"/>
    <row r="807" ht="12.75" customHeight="1" x14ac:dyDescent="0.45"/>
    <row r="808" ht="12.75" customHeight="1" x14ac:dyDescent="0.45"/>
    <row r="809" ht="12.75" customHeight="1" x14ac:dyDescent="0.45"/>
    <row r="810" ht="12.75" customHeight="1" x14ac:dyDescent="0.45"/>
    <row r="811" ht="12.75" customHeight="1" x14ac:dyDescent="0.45"/>
    <row r="812" ht="12.75" customHeight="1" x14ac:dyDescent="0.45"/>
    <row r="813" ht="12.75" customHeight="1" x14ac:dyDescent="0.45"/>
    <row r="814" ht="12.75" customHeight="1" x14ac:dyDescent="0.45"/>
    <row r="815" ht="12.75" customHeight="1" x14ac:dyDescent="0.45"/>
    <row r="816" ht="12.75" customHeight="1" x14ac:dyDescent="0.45"/>
    <row r="817" ht="12.75" customHeight="1" x14ac:dyDescent="0.45"/>
    <row r="818" ht="12.75" customHeight="1" x14ac:dyDescent="0.45"/>
    <row r="819" ht="12.75" customHeight="1" x14ac:dyDescent="0.45"/>
    <row r="820" ht="12.75" customHeight="1" x14ac:dyDescent="0.45"/>
    <row r="821" ht="12.75" customHeight="1" x14ac:dyDescent="0.45"/>
    <row r="822" ht="12.75" customHeight="1" x14ac:dyDescent="0.45"/>
    <row r="823" ht="12.75" customHeight="1" x14ac:dyDescent="0.45"/>
    <row r="824" ht="12.75" customHeight="1" x14ac:dyDescent="0.45"/>
    <row r="825" ht="12.75" customHeight="1" x14ac:dyDescent="0.45"/>
    <row r="826" ht="12.75" customHeight="1" x14ac:dyDescent="0.45"/>
    <row r="827" ht="12.75" customHeight="1" x14ac:dyDescent="0.45"/>
  </sheetData>
  <mergeCells count="15">
    <mergeCell ref="G123:I123"/>
    <mergeCell ref="A127:F127"/>
    <mergeCell ref="A1:F1"/>
    <mergeCell ref="A2:F2"/>
    <mergeCell ref="A3:A4"/>
    <mergeCell ref="B3:D4"/>
    <mergeCell ref="E3:E4"/>
    <mergeCell ref="F3:F4"/>
    <mergeCell ref="B154:F156"/>
    <mergeCell ref="B157:F158"/>
    <mergeCell ref="B159:F160"/>
    <mergeCell ref="A5:A6"/>
    <mergeCell ref="B5:B6"/>
    <mergeCell ref="E5:F5"/>
    <mergeCell ref="E6:F6"/>
  </mergeCells>
  <pageMargins left="0.7" right="0.7" top="0.75" bottom="0.75" header="0.3" footer="0.3"/>
  <pageSetup scale="76" orientation="portrait" r:id="rId1"/>
  <colBreaks count="1" manualBreakCount="1">
    <brk id="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5"/>
  <sheetViews>
    <sheetView workbookViewId="0">
      <selection activeCell="E23" sqref="E23"/>
    </sheetView>
  </sheetViews>
  <sheetFormatPr defaultRowHeight="14.5" x14ac:dyDescent="0.35"/>
  <cols>
    <col min="1" max="1" width="14.81640625" bestFit="1" customWidth="1"/>
    <col min="3" max="3" width="7.54296875" bestFit="1" customWidth="1"/>
    <col min="4" max="4" width="14.54296875" bestFit="1" customWidth="1"/>
    <col min="5" max="5" width="15.81640625" bestFit="1" customWidth="1"/>
  </cols>
  <sheetData>
    <row r="1" spans="1:5" x14ac:dyDescent="0.35">
      <c r="A1" s="188" t="s">
        <v>162</v>
      </c>
      <c r="B1" s="188"/>
      <c r="C1" s="188"/>
      <c r="D1" s="188"/>
      <c r="E1" s="188"/>
    </row>
    <row r="2" spans="1:5" ht="29" x14ac:dyDescent="0.35">
      <c r="A2" t="s">
        <v>163</v>
      </c>
      <c r="B2" t="s">
        <v>164</v>
      </c>
      <c r="C2" t="s">
        <v>165</v>
      </c>
      <c r="D2" s="153" t="s">
        <v>167</v>
      </c>
      <c r="E2" t="s">
        <v>168</v>
      </c>
    </row>
    <row r="3" spans="1:5" x14ac:dyDescent="0.35">
      <c r="A3" t="s">
        <v>166</v>
      </c>
      <c r="B3">
        <v>0.48</v>
      </c>
      <c r="C3" s="155">
        <f>B3*43560</f>
        <v>20908.8</v>
      </c>
      <c r="D3" s="156">
        <v>159000</v>
      </c>
      <c r="E3" s="157">
        <f>D3/C3</f>
        <v>7.6044536271809005</v>
      </c>
    </row>
    <row r="4" spans="1:5" x14ac:dyDescent="0.35">
      <c r="A4" t="s">
        <v>169</v>
      </c>
      <c r="B4">
        <v>0.56999999999999995</v>
      </c>
      <c r="C4" s="155">
        <f>B4*43560</f>
        <v>24829.199999999997</v>
      </c>
      <c r="D4" s="156">
        <v>240000</v>
      </c>
      <c r="E4" s="157">
        <f t="shared" ref="E4:E21" si="0">D4/C4</f>
        <v>9.6660383741723468</v>
      </c>
    </row>
    <row r="5" spans="1:5" x14ac:dyDescent="0.35">
      <c r="A5" t="s">
        <v>170</v>
      </c>
      <c r="B5">
        <v>0.73</v>
      </c>
      <c r="C5" s="155">
        <f t="shared" ref="C5:C21" si="1">B5*43560</f>
        <v>31798.799999999999</v>
      </c>
      <c r="D5" s="156">
        <v>214000</v>
      </c>
      <c r="E5" s="157">
        <f t="shared" si="0"/>
        <v>6.7298137036617733</v>
      </c>
    </row>
    <row r="6" spans="1:5" x14ac:dyDescent="0.35">
      <c r="A6" t="s">
        <v>171</v>
      </c>
      <c r="B6">
        <v>0.46</v>
      </c>
      <c r="C6" s="155">
        <f t="shared" si="1"/>
        <v>20037.600000000002</v>
      </c>
      <c r="D6" s="156">
        <v>159000</v>
      </c>
      <c r="E6" s="157">
        <f t="shared" si="0"/>
        <v>7.9350820457539815</v>
      </c>
    </row>
    <row r="7" spans="1:5" x14ac:dyDescent="0.35">
      <c r="A7" t="s">
        <v>172</v>
      </c>
      <c r="B7">
        <v>0.3</v>
      </c>
      <c r="C7" s="155">
        <f t="shared" si="1"/>
        <v>13068</v>
      </c>
      <c r="D7" s="156">
        <v>131000</v>
      </c>
      <c r="E7" s="157">
        <f t="shared" si="0"/>
        <v>10.02448729721457</v>
      </c>
    </row>
    <row r="8" spans="1:5" x14ac:dyDescent="0.35">
      <c r="A8" t="s">
        <v>173</v>
      </c>
      <c r="B8">
        <v>0.18</v>
      </c>
      <c r="C8" s="155">
        <f t="shared" si="1"/>
        <v>7840.7999999999993</v>
      </c>
      <c r="D8" s="156">
        <v>111000</v>
      </c>
      <c r="E8" s="157">
        <f t="shared" si="0"/>
        <v>14.156718702173249</v>
      </c>
    </row>
    <row r="9" spans="1:5" x14ac:dyDescent="0.35">
      <c r="A9" t="s">
        <v>174</v>
      </c>
      <c r="B9">
        <v>0.42</v>
      </c>
      <c r="C9" s="155">
        <f t="shared" si="1"/>
        <v>18295.2</v>
      </c>
      <c r="D9" s="156">
        <v>158000</v>
      </c>
      <c r="E9" s="157">
        <f t="shared" si="0"/>
        <v>8.6361449997813633</v>
      </c>
    </row>
    <row r="10" spans="1:5" x14ac:dyDescent="0.35">
      <c r="A10" t="s">
        <v>175</v>
      </c>
      <c r="B10">
        <v>0.48</v>
      </c>
      <c r="C10" s="155">
        <f t="shared" si="1"/>
        <v>20908.8</v>
      </c>
      <c r="D10" s="156">
        <v>161000</v>
      </c>
      <c r="E10" s="157">
        <f t="shared" si="0"/>
        <v>7.7001071319253143</v>
      </c>
    </row>
    <row r="11" spans="1:5" x14ac:dyDescent="0.35">
      <c r="A11" t="s">
        <v>176</v>
      </c>
      <c r="B11">
        <v>0.68</v>
      </c>
      <c r="C11" s="155">
        <f t="shared" si="1"/>
        <v>29620.800000000003</v>
      </c>
      <c r="D11" s="156">
        <v>214000</v>
      </c>
      <c r="E11" s="157">
        <f t="shared" si="0"/>
        <v>7.2246529465780798</v>
      </c>
    </row>
    <row r="12" spans="1:5" x14ac:dyDescent="0.35">
      <c r="A12" t="s">
        <v>177</v>
      </c>
      <c r="B12">
        <v>1.21</v>
      </c>
      <c r="C12" s="155">
        <f t="shared" si="1"/>
        <v>52707.6</v>
      </c>
      <c r="D12" s="156">
        <v>278600</v>
      </c>
      <c r="E12" s="157">
        <f t="shared" si="0"/>
        <v>5.2857652406863531</v>
      </c>
    </row>
    <row r="13" spans="1:5" x14ac:dyDescent="0.35">
      <c r="A13" t="s">
        <v>178</v>
      </c>
      <c r="B13">
        <v>0.46</v>
      </c>
      <c r="C13" s="155">
        <f t="shared" si="1"/>
        <v>20037.600000000002</v>
      </c>
      <c r="D13" s="156">
        <v>159000</v>
      </c>
      <c r="E13" s="157">
        <f t="shared" si="0"/>
        <v>7.9350820457539815</v>
      </c>
    </row>
    <row r="14" spans="1:5" x14ac:dyDescent="0.35">
      <c r="A14" t="s">
        <v>179</v>
      </c>
      <c r="B14">
        <v>1</v>
      </c>
      <c r="C14" s="155">
        <f t="shared" si="1"/>
        <v>43560</v>
      </c>
      <c r="D14" s="156">
        <v>285420</v>
      </c>
      <c r="E14" s="157">
        <f t="shared" si="0"/>
        <v>6.5523415977961434</v>
      </c>
    </row>
    <row r="15" spans="1:5" x14ac:dyDescent="0.35">
      <c r="A15" t="s">
        <v>180</v>
      </c>
      <c r="B15">
        <v>1.59</v>
      </c>
      <c r="C15" s="155">
        <f t="shared" si="1"/>
        <v>69260.400000000009</v>
      </c>
      <c r="D15" s="156">
        <v>273000</v>
      </c>
      <c r="E15" s="157">
        <f t="shared" si="0"/>
        <v>3.9416463087132034</v>
      </c>
    </row>
    <row r="16" spans="1:5" x14ac:dyDescent="0.35">
      <c r="A16" t="s">
        <v>181</v>
      </c>
      <c r="B16">
        <v>0.23</v>
      </c>
      <c r="C16" s="155">
        <f t="shared" si="1"/>
        <v>10018.800000000001</v>
      </c>
      <c r="D16" s="156">
        <v>128000</v>
      </c>
      <c r="E16" s="157">
        <f t="shared" si="0"/>
        <v>12.775981155427795</v>
      </c>
    </row>
    <row r="17" spans="1:5" x14ac:dyDescent="0.35">
      <c r="A17" t="s">
        <v>182</v>
      </c>
      <c r="B17">
        <v>0.46</v>
      </c>
      <c r="C17" s="155">
        <f t="shared" si="1"/>
        <v>20037.600000000002</v>
      </c>
      <c r="D17" s="156">
        <v>159000</v>
      </c>
      <c r="E17" s="157">
        <f t="shared" si="0"/>
        <v>7.9350820457539815</v>
      </c>
    </row>
    <row r="18" spans="1:5" x14ac:dyDescent="0.35">
      <c r="A18" t="s">
        <v>183</v>
      </c>
      <c r="B18">
        <v>0.22</v>
      </c>
      <c r="C18" s="155">
        <f t="shared" si="1"/>
        <v>9583.2000000000007</v>
      </c>
      <c r="D18" s="156">
        <v>129000</v>
      </c>
      <c r="E18" s="157">
        <f t="shared" si="0"/>
        <v>13.461056849486601</v>
      </c>
    </row>
    <row r="19" spans="1:5" x14ac:dyDescent="0.35">
      <c r="A19" t="s">
        <v>184</v>
      </c>
      <c r="B19">
        <v>0.52</v>
      </c>
      <c r="C19" s="155">
        <f t="shared" si="1"/>
        <v>22651.200000000001</v>
      </c>
      <c r="D19" s="156">
        <v>134240</v>
      </c>
      <c r="E19" s="157">
        <f t="shared" si="0"/>
        <v>5.9263968354877443</v>
      </c>
    </row>
    <row r="20" spans="1:5" x14ac:dyDescent="0.35">
      <c r="A20" t="s">
        <v>185</v>
      </c>
      <c r="B20">
        <v>1.63</v>
      </c>
      <c r="C20" s="155">
        <f t="shared" si="1"/>
        <v>71002.799999999988</v>
      </c>
      <c r="D20" s="156">
        <v>274000</v>
      </c>
      <c r="E20" s="157">
        <f t="shared" si="0"/>
        <v>3.8590027435537761</v>
      </c>
    </row>
    <row r="21" spans="1:5" x14ac:dyDescent="0.35">
      <c r="A21" t="s">
        <v>186</v>
      </c>
      <c r="B21">
        <v>0.21</v>
      </c>
      <c r="C21" s="155">
        <f t="shared" si="1"/>
        <v>9147.6</v>
      </c>
      <c r="D21" s="156">
        <v>131000</v>
      </c>
      <c r="E21" s="157">
        <f t="shared" si="0"/>
        <v>14.320696138877956</v>
      </c>
    </row>
    <row r="22" spans="1:5" x14ac:dyDescent="0.35">
      <c r="C22" s="155"/>
      <c r="D22" s="156"/>
      <c r="E22" s="157"/>
    </row>
    <row r="23" spans="1:5" x14ac:dyDescent="0.35">
      <c r="A23" t="s">
        <v>187</v>
      </c>
      <c r="B23" s="154">
        <f>AVERAGE(B3:B21)</f>
        <v>0.62263157894736854</v>
      </c>
      <c r="C23" s="155"/>
      <c r="D23" s="156"/>
      <c r="E23" s="154">
        <f>AVERAGE(E3:E21)</f>
        <v>8.5089763047357447</v>
      </c>
    </row>
    <row r="24" spans="1:5" x14ac:dyDescent="0.35">
      <c r="C24" s="155"/>
      <c r="D24" s="156"/>
      <c r="E24" s="157"/>
    </row>
    <row r="25" spans="1:5" x14ac:dyDescent="0.35">
      <c r="C25" s="155"/>
      <c r="D25" s="156"/>
      <c r="E25" s="157"/>
    </row>
    <row r="26" spans="1:5" x14ac:dyDescent="0.35">
      <c r="C26" s="155"/>
      <c r="D26" s="156"/>
      <c r="E26" s="157"/>
    </row>
    <row r="27" spans="1:5" x14ac:dyDescent="0.35">
      <c r="C27" s="155"/>
      <c r="D27" s="156"/>
      <c r="E27" s="157"/>
    </row>
    <row r="28" spans="1:5" x14ac:dyDescent="0.35">
      <c r="C28" s="155"/>
      <c r="D28" s="156"/>
      <c r="E28" s="157"/>
    </row>
    <row r="29" spans="1:5" x14ac:dyDescent="0.35">
      <c r="C29" s="155"/>
      <c r="D29" s="156"/>
      <c r="E29" s="157"/>
    </row>
    <row r="30" spans="1:5" x14ac:dyDescent="0.35">
      <c r="C30" s="155"/>
      <c r="D30" s="156"/>
      <c r="E30" s="157"/>
    </row>
    <row r="31" spans="1:5" x14ac:dyDescent="0.35">
      <c r="C31" s="155"/>
      <c r="D31" s="156"/>
      <c r="E31" s="157"/>
    </row>
    <row r="32" spans="1:5" x14ac:dyDescent="0.35">
      <c r="C32" s="155"/>
      <c r="E32" s="157"/>
    </row>
    <row r="33" spans="5:5" x14ac:dyDescent="0.35">
      <c r="E33" s="157"/>
    </row>
    <row r="34" spans="5:5" x14ac:dyDescent="0.35">
      <c r="E34" s="157"/>
    </row>
    <row r="35" spans="5:5" x14ac:dyDescent="0.35">
      <c r="E35" s="157"/>
    </row>
  </sheetData>
  <mergeCells count="1">
    <mergeCell ref="A1:E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BD8C9438624548BCBF808C7809E09B" ma:contentTypeVersion="14" ma:contentTypeDescription="Create a new document." ma:contentTypeScope="" ma:versionID="6f35ab83a976c7e6882e721d5788f262">
  <xsd:schema xmlns:xsd="http://www.w3.org/2001/XMLSchema" xmlns:xs="http://www.w3.org/2001/XMLSchema" xmlns:p="http://schemas.microsoft.com/office/2006/metadata/properties" xmlns:ns2="a0cbf6c1-1a7b-4b0b-ad6b-28a45c1c1b76" xmlns:ns3="72bfa25a-afc5-42c6-8844-c23e6fc5ac1b" targetNamespace="http://schemas.microsoft.com/office/2006/metadata/properties" ma:root="true" ma:fieldsID="7c5811dfb7a643cc415c5474a4ae061f" ns2:_="" ns3:_="">
    <xsd:import namespace="a0cbf6c1-1a7b-4b0b-ad6b-28a45c1c1b76"/>
    <xsd:import namespace="72bfa25a-afc5-42c6-8844-c23e6fc5ac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cbf6c1-1a7b-4b0b-ad6b-28a45c1c1b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47fd19b1-e6f1-4469-9dab-f0f19da02c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fa25a-afc5-42c6-8844-c23e6fc5ac1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bd459cc-a9f9-4ea1-bb5d-9c8b904ac05b}" ma:internalName="TaxCatchAll" ma:showField="CatchAllData" ma:web="72bfa25a-afc5-42c6-8844-c23e6fc5ac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2bfa25a-afc5-42c6-8844-c23e6fc5ac1b" xsi:nil="true"/>
    <lcf76f155ced4ddcb4097134ff3c332f xmlns="a0cbf6c1-1a7b-4b0b-ad6b-28a45c1c1b7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95FF93-974B-4795-B657-B89379C2278A}"/>
</file>

<file path=customXml/itemProps2.xml><?xml version="1.0" encoding="utf-8"?>
<ds:datastoreItem xmlns:ds="http://schemas.openxmlformats.org/officeDocument/2006/customXml" ds:itemID="{D8AEA9F0-8F6E-48CE-B96D-0E43B5F20C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35C738-5DC5-44ED-97A3-6BF6CD874911}">
  <ds:schemaRefs>
    <ds:schemaRef ds:uri="http://schemas.microsoft.com/office/2006/metadata/properties"/>
    <ds:schemaRef ds:uri="http://schemas.microsoft.com/office/infopath/2007/PartnerControls"/>
    <ds:schemaRef ds:uri="ef33c7e2-7336-4d59-9680-bc6dbba95566"/>
    <ds:schemaRef ds:uri="1b824e43-67d4-4af3-a162-3615fb230e5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Cost Estimate Scoping Sheet</vt:lpstr>
      <vt:lpstr>Sheet1</vt:lpstr>
      <vt:lpstr>'Cost Estimate Scoping Sheet'!Print_Area</vt:lpstr>
    </vt:vector>
  </TitlesOfParts>
  <Manager/>
  <Company>City of Medford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Karl H. MacNair</dc:creator>
  <cp:keywords/>
  <dc:description/>
  <cp:lastModifiedBy>Karl H. MacNair</cp:lastModifiedBy>
  <cp:revision/>
  <cp:lastPrinted>2022-06-08T19:41:51Z</cp:lastPrinted>
  <dcterms:created xsi:type="dcterms:W3CDTF">2022-04-09T20:11:23Z</dcterms:created>
  <dcterms:modified xsi:type="dcterms:W3CDTF">2025-05-30T01:09:38Z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0x0101001DBD8C9438624548BCBF808C7809E09B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